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6405" tabRatio="799" activeTab="6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Лист2" sheetId="9" r:id="rId9"/>
    <sheet name="Лист6" sheetId="10" r:id="rId10"/>
    <sheet name="Лист1" sheetId="11" r:id="rId11"/>
    <sheet name="Лист4" sheetId="12" r:id="rId12"/>
    <sheet name="Лист5" sheetId="13" r:id="rId13"/>
    <sheet name="Лист3" sheetId="14" r:id="rId14"/>
  </sheets>
  <definedNames/>
  <calcPr fullCalcOnLoad="1"/>
</workbook>
</file>

<file path=xl/sharedStrings.xml><?xml version="1.0" encoding="utf-8"?>
<sst xmlns="http://schemas.openxmlformats.org/spreadsheetml/2006/main" count="600" uniqueCount="94">
  <si>
    <t>УУТЭ</t>
  </si>
  <si>
    <t>№</t>
  </si>
  <si>
    <t>Наименование улицы, номер дома.</t>
  </si>
  <si>
    <t>Этажность</t>
  </si>
  <si>
    <t>Кол-во квартир</t>
  </si>
  <si>
    <t>Кол-во лифтов</t>
  </si>
  <si>
    <t>Кол-во под.</t>
  </si>
  <si>
    <t>S.убир. л\кл.</t>
  </si>
  <si>
    <t>S. Подвала</t>
  </si>
  <si>
    <t>S. Дворовая</t>
  </si>
  <si>
    <t xml:space="preserve"> Общая пол.S кв.</t>
  </si>
  <si>
    <t>Начисленно населению</t>
  </si>
  <si>
    <t>ИТОГО</t>
  </si>
  <si>
    <t>Оплачено населением</t>
  </si>
  <si>
    <t xml:space="preserve">Всего оплата </t>
  </si>
  <si>
    <t>Анализ поступления</t>
  </si>
  <si>
    <t>содержание</t>
  </si>
  <si>
    <t>текущий рем.</t>
  </si>
  <si>
    <t>Пятиэтажные дома с благоустройством без лифта</t>
  </si>
  <si>
    <t>К.Маркса,8</t>
  </si>
  <si>
    <t>К.Маркса,16</t>
  </si>
  <si>
    <t>Кошевого,15</t>
  </si>
  <si>
    <t>Кошевого,19</t>
  </si>
  <si>
    <t>Мира,33</t>
  </si>
  <si>
    <t>Мира,43</t>
  </si>
  <si>
    <t>Мира,45</t>
  </si>
  <si>
    <t>Итого:</t>
  </si>
  <si>
    <t>Дявитиэтажные дома с благоустройством и лифтами</t>
  </si>
  <si>
    <t>Королева,6</t>
  </si>
  <si>
    <t>К.Маркса,2</t>
  </si>
  <si>
    <t>К.Маркса,6</t>
  </si>
  <si>
    <t>К.Маркса,10</t>
  </si>
  <si>
    <t>К.Маркса,14</t>
  </si>
  <si>
    <t>К.Маркса,18</t>
  </si>
  <si>
    <t>К.Маркса,20</t>
  </si>
  <si>
    <t>Кошевого,13</t>
  </si>
  <si>
    <t>Кошевого,17</t>
  </si>
  <si>
    <t>Мира,27</t>
  </si>
  <si>
    <t>Мира,31</t>
  </si>
  <si>
    <t>Мира,35</t>
  </si>
  <si>
    <t>Мира,37</t>
  </si>
  <si>
    <t>Мира,39</t>
  </si>
  <si>
    <t>Мира,41</t>
  </si>
  <si>
    <t>Всего:</t>
  </si>
  <si>
    <t>Экономист                                                                         Александрова Л.Б.</t>
  </si>
  <si>
    <t xml:space="preserve">Доходы по  ООО "РиСОЖ-1" за  январь 2010 г. </t>
  </si>
  <si>
    <t xml:space="preserve">Доходы по  ООО "РиСОЖ-1" за  январь - февраль 2010 г. </t>
  </si>
  <si>
    <t xml:space="preserve">Доходы по  ООО "РиСОЖ-1" за  январь - март 2010 г. </t>
  </si>
  <si>
    <t xml:space="preserve">Доходы по  ООО "РиСОЖ-1" за  январь - апрель 2010 г. </t>
  </si>
  <si>
    <t xml:space="preserve">Доходы по  ООО "РиСОЖ-1" за  январь - май 2010 г. </t>
  </si>
  <si>
    <t xml:space="preserve">Доходы по  ООО "РиСОЖ-1" за  январь - июнь 2010 г. </t>
  </si>
  <si>
    <t>Королева,4</t>
  </si>
  <si>
    <t>Королева,8</t>
  </si>
  <si>
    <t>Королева,10</t>
  </si>
  <si>
    <t>К.Маркса,22</t>
  </si>
  <si>
    <t>ООО "РиСОЖ-1"</t>
  </si>
  <si>
    <t>пятиэтажные дома</t>
  </si>
  <si>
    <t>девятиэтажные дома</t>
  </si>
  <si>
    <t>ИТОГО:</t>
  </si>
  <si>
    <t>ООО "РиСОЖ-2"</t>
  </si>
  <si>
    <t>ООО "РиСОЖ-3"</t>
  </si>
  <si>
    <t xml:space="preserve">ВСЕГО </t>
  </si>
  <si>
    <t xml:space="preserve">Доходы по  предпрниятиям 2010г. </t>
  </si>
  <si>
    <t>Доходы в месяц</t>
  </si>
  <si>
    <t>Доходы за год</t>
  </si>
  <si>
    <t xml:space="preserve">Доходы по  ООО "РиСОЖ-3" за  месяц 2010 г. </t>
  </si>
  <si>
    <t xml:space="preserve">Доходы по  ООО "РиСОЖ-1" за месяц 2010 г. </t>
  </si>
  <si>
    <t xml:space="preserve">Доходы по  ООО "РиСОЖ-3" в 2010 г. </t>
  </si>
  <si>
    <t xml:space="preserve">  Начисленно населению</t>
  </si>
  <si>
    <t xml:space="preserve">ИТОГО </t>
  </si>
  <si>
    <t>Лукойл</t>
  </si>
  <si>
    <t>Итого ком. расходы</t>
  </si>
  <si>
    <t>всего</t>
  </si>
  <si>
    <t>Энерго-сбыт</t>
  </si>
  <si>
    <t xml:space="preserve">Доходы по  ООО "РиСОЖ-1" в 2010 г. </t>
  </si>
  <si>
    <t>водоканал</t>
  </si>
  <si>
    <t xml:space="preserve">Доходы по  ООО "РиСОЖ-1" за  январь - август 2010 г. </t>
  </si>
  <si>
    <t>К.Маркса ,22</t>
  </si>
  <si>
    <t>Мира ,45</t>
  </si>
  <si>
    <t>Королёва ,4</t>
  </si>
  <si>
    <t>Королёва,6</t>
  </si>
  <si>
    <t>Королёва ,8</t>
  </si>
  <si>
    <t>Королёва ,10</t>
  </si>
  <si>
    <t xml:space="preserve">              (-)  </t>
  </si>
  <si>
    <t>долг</t>
  </si>
  <si>
    <t>переплата</t>
  </si>
  <si>
    <t xml:space="preserve">            (+)</t>
  </si>
  <si>
    <t>Начисленно населению (руб)</t>
  </si>
  <si>
    <t>Оплачено населением (руб)</t>
  </si>
  <si>
    <t xml:space="preserve">Анализ  поступления(руб)  </t>
  </si>
  <si>
    <t>Девятиэтажные дома  с благоустройством с лифтом</t>
  </si>
  <si>
    <t xml:space="preserve"> Пятиэтажные дома с благоустройствм  без лифта</t>
  </si>
  <si>
    <t xml:space="preserve">ДОХОДЫ  по  ООО "РиСОЖ-4"   за    январь- июнь  2014 года. </t>
  </si>
  <si>
    <t>вывоз мусора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</si>
</sst>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5"/>
      <name val="Arial Cyr"/>
      <family val="2"/>
    </font>
    <font>
      <b/>
      <u val="single"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2" fontId="5" fillId="24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3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24" borderId="10" xfId="0" applyFont="1" applyFill="1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distributed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375" style="0" customWidth="1"/>
    <col min="3" max="3" width="2.625" style="0" customWidth="1"/>
    <col min="4" max="4" width="4.125" style="0" customWidth="1"/>
    <col min="5" max="5" width="5.375" style="0" customWidth="1"/>
    <col min="6" max="6" width="4.125" style="0" customWidth="1"/>
    <col min="7" max="7" width="4.25390625" style="0" customWidth="1"/>
    <col min="8" max="8" width="8.125" style="0" customWidth="1"/>
    <col min="9" max="10" width="7.75390625" style="0" customWidth="1"/>
    <col min="12" max="12" width="11.25390625" style="0" customWidth="1"/>
    <col min="13" max="13" width="10.125" style="0" customWidth="1"/>
    <col min="14" max="14" width="11.125" style="0" customWidth="1"/>
    <col min="15" max="15" width="11.625" style="0" customWidth="1"/>
    <col min="16" max="16" width="10.875" style="0" customWidth="1"/>
    <col min="17" max="18" width="11.375" style="0" customWidth="1"/>
  </cols>
  <sheetData>
    <row r="1" spans="1:18" ht="12.75">
      <c r="A1" s="1"/>
      <c r="C1" s="92" t="s">
        <v>45</v>
      </c>
      <c r="D1" s="92"/>
      <c r="E1" s="92"/>
      <c r="F1" s="92"/>
      <c r="G1" s="92"/>
      <c r="H1" s="92"/>
      <c r="I1" s="92"/>
      <c r="J1" s="93"/>
      <c r="K1" s="93"/>
      <c r="L1" s="93"/>
      <c r="M1" s="93"/>
      <c r="N1" s="1"/>
      <c r="O1" s="1"/>
      <c r="P1" s="1"/>
      <c r="R1" s="2"/>
    </row>
    <row r="2" spans="1:18" ht="12.75">
      <c r="A2" s="1"/>
      <c r="C2" s="1"/>
      <c r="D2" s="1"/>
      <c r="E2" s="1"/>
      <c r="F2" s="1"/>
      <c r="G2" s="1"/>
      <c r="H2" s="1"/>
      <c r="I2" s="1"/>
      <c r="J2" s="1"/>
      <c r="K2" s="3"/>
      <c r="L2" s="1"/>
      <c r="M2" s="1"/>
      <c r="N2" s="1"/>
      <c r="O2" s="1"/>
      <c r="P2" s="1"/>
      <c r="R2" s="2"/>
    </row>
    <row r="3" spans="1:18" ht="12.75">
      <c r="A3" s="94" t="s">
        <v>1</v>
      </c>
      <c r="B3" s="95" t="s">
        <v>2</v>
      </c>
      <c r="C3" s="95"/>
      <c r="D3" s="96" t="s">
        <v>3</v>
      </c>
      <c r="E3" s="97" t="s">
        <v>4</v>
      </c>
      <c r="F3" s="97" t="s">
        <v>5</v>
      </c>
      <c r="G3" s="97" t="s">
        <v>6</v>
      </c>
      <c r="H3" s="97" t="s">
        <v>7</v>
      </c>
      <c r="I3" s="97" t="s">
        <v>8</v>
      </c>
      <c r="J3" s="97" t="s">
        <v>9</v>
      </c>
      <c r="K3" s="86" t="s">
        <v>10</v>
      </c>
      <c r="L3" s="87" t="s">
        <v>11</v>
      </c>
      <c r="M3" s="88"/>
      <c r="N3" s="89" t="s">
        <v>12</v>
      </c>
      <c r="O3" s="91" t="s">
        <v>13</v>
      </c>
      <c r="P3" s="91"/>
      <c r="Q3" s="77" t="s">
        <v>14</v>
      </c>
      <c r="R3" s="77" t="s">
        <v>15</v>
      </c>
    </row>
    <row r="4" spans="1:18" ht="65.25" customHeight="1">
      <c r="A4" s="94"/>
      <c r="B4" s="95"/>
      <c r="C4" s="95"/>
      <c r="D4" s="96"/>
      <c r="E4" s="97"/>
      <c r="F4" s="97"/>
      <c r="G4" s="97"/>
      <c r="H4" s="97"/>
      <c r="I4" s="97"/>
      <c r="J4" s="97"/>
      <c r="K4" s="86"/>
      <c r="L4" s="4" t="s">
        <v>16</v>
      </c>
      <c r="M4" s="4" t="s">
        <v>17</v>
      </c>
      <c r="N4" s="90"/>
      <c r="O4" s="4" t="s">
        <v>16</v>
      </c>
      <c r="P4" s="4" t="s">
        <v>17</v>
      </c>
      <c r="Q4" s="78"/>
      <c r="R4" s="78"/>
    </row>
    <row r="5" spans="1:18" ht="12.75">
      <c r="A5" s="83" t="s">
        <v>18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5"/>
    </row>
    <row r="6" spans="1:18" ht="12.75">
      <c r="A6" s="5">
        <v>1</v>
      </c>
      <c r="B6" s="80" t="s">
        <v>19</v>
      </c>
      <c r="C6" s="80"/>
      <c r="D6" s="5">
        <v>5</v>
      </c>
      <c r="E6" s="5">
        <v>77</v>
      </c>
      <c r="F6" s="5"/>
      <c r="G6" s="5">
        <v>5</v>
      </c>
      <c r="H6" s="5">
        <v>445.8</v>
      </c>
      <c r="I6" s="5">
        <v>964.3</v>
      </c>
      <c r="J6" s="5">
        <v>4343</v>
      </c>
      <c r="K6" s="6">
        <v>3540.8</v>
      </c>
      <c r="L6" s="7">
        <v>30824.88</v>
      </c>
      <c r="M6" s="7">
        <v>9935.69</v>
      </c>
      <c r="N6" s="8">
        <f aca="true" t="shared" si="0" ref="N6:N12">L6+M6</f>
        <v>40760.57</v>
      </c>
      <c r="O6" s="8">
        <v>23786.36</v>
      </c>
      <c r="P6" s="8">
        <v>7666.99</v>
      </c>
      <c r="Q6" s="9">
        <f aca="true" t="shared" si="1" ref="Q6:Q12">SUM(O6:P6)</f>
        <v>31453.35</v>
      </c>
      <c r="R6" s="9">
        <f aca="true" t="shared" si="2" ref="R6:R13">Q6-N6</f>
        <v>-9307.220000000001</v>
      </c>
    </row>
    <row r="7" spans="1:18" ht="12.75">
      <c r="A7" s="5">
        <v>2</v>
      </c>
      <c r="B7" s="80" t="s">
        <v>20</v>
      </c>
      <c r="C7" s="80"/>
      <c r="D7" s="5">
        <v>5</v>
      </c>
      <c r="E7" s="5">
        <v>50</v>
      </c>
      <c r="F7" s="5"/>
      <c r="G7" s="5">
        <v>3</v>
      </c>
      <c r="H7" s="5">
        <v>305.7</v>
      </c>
      <c r="I7" s="5">
        <v>620.2</v>
      </c>
      <c r="J7" s="5">
        <v>3263</v>
      </c>
      <c r="K7" s="6">
        <v>2291.9</v>
      </c>
      <c r="L7" s="7">
        <v>20123.78</v>
      </c>
      <c r="M7" s="7">
        <v>6486.43</v>
      </c>
      <c r="N7" s="8">
        <f t="shared" si="0"/>
        <v>26610.21</v>
      </c>
      <c r="O7" s="8">
        <v>14969.95</v>
      </c>
      <c r="P7" s="8">
        <v>4825.22</v>
      </c>
      <c r="Q7" s="9">
        <f t="shared" si="1"/>
        <v>19795.170000000002</v>
      </c>
      <c r="R7" s="9">
        <f t="shared" si="2"/>
        <v>-6815.039999999997</v>
      </c>
    </row>
    <row r="8" spans="1:18" ht="12.75">
      <c r="A8" s="5">
        <v>3</v>
      </c>
      <c r="B8" s="80" t="s">
        <v>21</v>
      </c>
      <c r="C8" s="80"/>
      <c r="D8" s="5">
        <v>5</v>
      </c>
      <c r="E8" s="5">
        <v>100</v>
      </c>
      <c r="F8" s="5"/>
      <c r="G8" s="5">
        <v>6</v>
      </c>
      <c r="H8" s="5">
        <v>620</v>
      </c>
      <c r="I8" s="5">
        <v>1231.7</v>
      </c>
      <c r="J8" s="5">
        <v>5382</v>
      </c>
      <c r="K8" s="6">
        <v>4552.2</v>
      </c>
      <c r="L8" s="7">
        <v>40057.82</v>
      </c>
      <c r="M8" s="7">
        <v>12911.62</v>
      </c>
      <c r="N8" s="8">
        <f t="shared" si="0"/>
        <v>52969.44</v>
      </c>
      <c r="O8" s="8">
        <v>28410.73</v>
      </c>
      <c r="P8" s="8">
        <v>9157.48</v>
      </c>
      <c r="Q8" s="9">
        <f t="shared" si="1"/>
        <v>37568.21</v>
      </c>
      <c r="R8" s="9">
        <f t="shared" si="2"/>
        <v>-15401.230000000003</v>
      </c>
    </row>
    <row r="9" spans="1:18" ht="12.75">
      <c r="A9" s="5">
        <v>4</v>
      </c>
      <c r="B9" s="80" t="s">
        <v>22</v>
      </c>
      <c r="C9" s="80"/>
      <c r="D9" s="5">
        <v>5</v>
      </c>
      <c r="E9" s="5">
        <v>109</v>
      </c>
      <c r="F9" s="5"/>
      <c r="G9" s="5">
        <v>7</v>
      </c>
      <c r="H9" s="5">
        <v>679.8</v>
      </c>
      <c r="I9" s="5">
        <v>1296.8</v>
      </c>
      <c r="J9" s="5">
        <v>4094</v>
      </c>
      <c r="K9" s="6">
        <v>4821.2</v>
      </c>
      <c r="L9" s="7">
        <v>42506.58</v>
      </c>
      <c r="M9" s="7">
        <v>13700.96</v>
      </c>
      <c r="N9" s="8">
        <f t="shared" si="0"/>
        <v>56207.54</v>
      </c>
      <c r="O9" s="8">
        <v>32256.91</v>
      </c>
      <c r="P9" s="8">
        <v>10397.23</v>
      </c>
      <c r="Q9" s="9">
        <f t="shared" si="1"/>
        <v>42654.14</v>
      </c>
      <c r="R9" s="9">
        <f t="shared" si="2"/>
        <v>-13553.400000000001</v>
      </c>
    </row>
    <row r="10" spans="1:18" ht="12.75">
      <c r="A10" s="5">
        <v>5</v>
      </c>
      <c r="B10" s="80" t="s">
        <v>23</v>
      </c>
      <c r="C10" s="80"/>
      <c r="D10" s="5">
        <v>5</v>
      </c>
      <c r="E10" s="5">
        <v>139</v>
      </c>
      <c r="F10" s="5"/>
      <c r="G10" s="5">
        <v>9</v>
      </c>
      <c r="H10" s="5">
        <v>788.1</v>
      </c>
      <c r="I10" s="5">
        <v>1632.4</v>
      </c>
      <c r="J10" s="5">
        <v>6410</v>
      </c>
      <c r="K10" s="6">
        <v>6145.2</v>
      </c>
      <c r="L10" s="7">
        <v>54019.84</v>
      </c>
      <c r="M10" s="7">
        <v>17411.95</v>
      </c>
      <c r="N10" s="8">
        <f t="shared" si="0"/>
        <v>71431.79</v>
      </c>
      <c r="O10" s="8">
        <v>39171.76</v>
      </c>
      <c r="P10" s="8">
        <v>12626.04</v>
      </c>
      <c r="Q10" s="9">
        <f t="shared" si="1"/>
        <v>51797.8</v>
      </c>
      <c r="R10" s="9">
        <f t="shared" si="2"/>
        <v>-19633.98999999999</v>
      </c>
    </row>
    <row r="11" spans="1:18" ht="12.75">
      <c r="A11" s="5">
        <v>6</v>
      </c>
      <c r="B11" s="80" t="s">
        <v>24</v>
      </c>
      <c r="C11" s="80"/>
      <c r="D11" s="5">
        <v>5</v>
      </c>
      <c r="E11" s="5">
        <v>110</v>
      </c>
      <c r="F11" s="5"/>
      <c r="G11" s="5">
        <v>7</v>
      </c>
      <c r="H11" s="5">
        <v>609.7</v>
      </c>
      <c r="I11" s="5">
        <v>1282.6</v>
      </c>
      <c r="J11" s="5">
        <v>5832</v>
      </c>
      <c r="K11" s="6">
        <v>4850.2</v>
      </c>
      <c r="L11" s="7">
        <v>42346.87</v>
      </c>
      <c r="M11" s="7">
        <v>13649.47</v>
      </c>
      <c r="N11" s="8">
        <f t="shared" si="0"/>
        <v>55996.340000000004</v>
      </c>
      <c r="O11" s="8">
        <v>28243.53</v>
      </c>
      <c r="P11" s="8">
        <v>9103.61</v>
      </c>
      <c r="Q11" s="9">
        <f t="shared" si="1"/>
        <v>37347.14</v>
      </c>
      <c r="R11" s="9">
        <f t="shared" si="2"/>
        <v>-18649.200000000004</v>
      </c>
    </row>
    <row r="12" spans="1:18" ht="12.75">
      <c r="A12" s="5">
        <v>7</v>
      </c>
      <c r="B12" s="80" t="s">
        <v>25</v>
      </c>
      <c r="C12" s="80"/>
      <c r="D12" s="5">
        <v>5</v>
      </c>
      <c r="E12" s="5">
        <v>110</v>
      </c>
      <c r="F12" s="5"/>
      <c r="G12" s="5">
        <v>7</v>
      </c>
      <c r="H12" s="5">
        <v>629.7</v>
      </c>
      <c r="I12" s="5">
        <v>1308.7</v>
      </c>
      <c r="J12" s="5">
        <v>5214</v>
      </c>
      <c r="K12" s="6">
        <v>4827.8</v>
      </c>
      <c r="L12" s="7">
        <v>42412.67</v>
      </c>
      <c r="M12" s="7">
        <v>13670.73</v>
      </c>
      <c r="N12" s="8">
        <f t="shared" si="0"/>
        <v>56083.399999999994</v>
      </c>
      <c r="O12" s="8">
        <v>31241.57</v>
      </c>
      <c r="P12" s="8">
        <v>10069.99</v>
      </c>
      <c r="Q12" s="9">
        <f t="shared" si="1"/>
        <v>41311.56</v>
      </c>
      <c r="R12" s="9">
        <f t="shared" si="2"/>
        <v>-14771.839999999997</v>
      </c>
    </row>
    <row r="13" spans="1:18" ht="12.75">
      <c r="A13" s="10"/>
      <c r="B13" s="81" t="s">
        <v>26</v>
      </c>
      <c r="C13" s="82"/>
      <c r="D13" s="10">
        <f>SUM(D6:D12)</f>
        <v>35</v>
      </c>
      <c r="E13" s="10">
        <f>SUM(E6:E12)</f>
        <v>695</v>
      </c>
      <c r="F13" s="10"/>
      <c r="G13" s="10">
        <f aca="true" t="shared" si="3" ref="G13:Q13">SUM(G6:G12)</f>
        <v>44</v>
      </c>
      <c r="H13" s="10">
        <f t="shared" si="3"/>
        <v>4078.8</v>
      </c>
      <c r="I13" s="10">
        <f t="shared" si="3"/>
        <v>8336.7</v>
      </c>
      <c r="J13" s="10">
        <f t="shared" si="3"/>
        <v>34538</v>
      </c>
      <c r="K13" s="11">
        <f t="shared" si="3"/>
        <v>31029.300000000003</v>
      </c>
      <c r="L13" s="9">
        <f t="shared" si="3"/>
        <v>272292.44</v>
      </c>
      <c r="M13" s="9">
        <f t="shared" si="3"/>
        <v>87766.85</v>
      </c>
      <c r="N13" s="12">
        <f t="shared" si="3"/>
        <v>360059.29000000004</v>
      </c>
      <c r="O13" s="12">
        <f t="shared" si="3"/>
        <v>198080.81</v>
      </c>
      <c r="P13" s="12">
        <f t="shared" si="3"/>
        <v>63846.56</v>
      </c>
      <c r="Q13" s="9">
        <f t="shared" si="3"/>
        <v>261927.37</v>
      </c>
      <c r="R13" s="9">
        <f t="shared" si="2"/>
        <v>-98131.92000000004</v>
      </c>
    </row>
    <row r="14" spans="1:18" ht="12.75">
      <c r="A14" s="83" t="s">
        <v>27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5"/>
    </row>
    <row r="15" spans="1:18" ht="12.75">
      <c r="A15" s="5">
        <v>8</v>
      </c>
      <c r="B15" s="80" t="s">
        <v>28</v>
      </c>
      <c r="C15" s="80"/>
      <c r="D15" s="5">
        <v>9</v>
      </c>
      <c r="E15" s="5">
        <v>172</v>
      </c>
      <c r="F15" s="5">
        <v>5</v>
      </c>
      <c r="G15" s="5">
        <v>5</v>
      </c>
      <c r="H15" s="5">
        <v>1343.8</v>
      </c>
      <c r="I15" s="5">
        <v>1470.1</v>
      </c>
      <c r="J15" s="5">
        <v>4278</v>
      </c>
      <c r="K15" s="6">
        <v>8863</v>
      </c>
      <c r="L15" s="7">
        <v>96108.29</v>
      </c>
      <c r="M15" s="7">
        <v>34708.66</v>
      </c>
      <c r="N15" s="8">
        <f>L15+M15</f>
        <v>130816.95</v>
      </c>
      <c r="O15" s="8">
        <v>66826.14</v>
      </c>
      <c r="P15" s="8">
        <v>24133.67</v>
      </c>
      <c r="Q15" s="9">
        <f aca="true" t="shared" si="4" ref="Q15:Q30">SUM(O15:P15)</f>
        <v>90959.81</v>
      </c>
      <c r="R15" s="9">
        <f aca="true" t="shared" si="5" ref="R15:R31">Q15-N15</f>
        <v>-39857.14</v>
      </c>
    </row>
    <row r="16" spans="1:18" ht="12.75">
      <c r="A16" s="5">
        <v>9</v>
      </c>
      <c r="B16" s="80" t="s">
        <v>29</v>
      </c>
      <c r="C16" s="80"/>
      <c r="D16" s="5">
        <v>10</v>
      </c>
      <c r="E16" s="5">
        <v>78</v>
      </c>
      <c r="F16" s="5">
        <v>2</v>
      </c>
      <c r="G16" s="5">
        <v>2</v>
      </c>
      <c r="H16" s="5">
        <v>623.5</v>
      </c>
      <c r="I16" s="5">
        <v>600.5</v>
      </c>
      <c r="J16" s="5">
        <v>1933</v>
      </c>
      <c r="K16" s="6">
        <v>4147.2</v>
      </c>
      <c r="L16" s="7">
        <v>51980.51</v>
      </c>
      <c r="M16" s="7">
        <v>16316.62</v>
      </c>
      <c r="N16" s="8">
        <f>L16+M16</f>
        <v>68297.13</v>
      </c>
      <c r="O16" s="8">
        <v>49089.53</v>
      </c>
      <c r="P16" s="8">
        <v>15409.15</v>
      </c>
      <c r="Q16" s="9">
        <f t="shared" si="4"/>
        <v>64498.68</v>
      </c>
      <c r="R16" s="9">
        <f t="shared" si="5"/>
        <v>-3798.4500000000044</v>
      </c>
    </row>
    <row r="17" spans="1:18" ht="12.75">
      <c r="A17" s="5">
        <v>10</v>
      </c>
      <c r="B17" s="80" t="s">
        <v>30</v>
      </c>
      <c r="C17" s="80"/>
      <c r="D17" s="5">
        <v>9</v>
      </c>
      <c r="E17" s="5">
        <v>142</v>
      </c>
      <c r="F17" s="5">
        <v>4</v>
      </c>
      <c r="G17" s="5">
        <v>4</v>
      </c>
      <c r="H17" s="5">
        <v>1082.2</v>
      </c>
      <c r="I17" s="5">
        <v>1170.7</v>
      </c>
      <c r="J17" s="5">
        <v>5957</v>
      </c>
      <c r="K17" s="6">
        <v>7266.7</v>
      </c>
      <c r="L17" s="7">
        <v>90934.04</v>
      </c>
      <c r="M17" s="7">
        <v>28544.14</v>
      </c>
      <c r="N17" s="8">
        <f>L17+M17</f>
        <v>119478.18</v>
      </c>
      <c r="O17" s="8">
        <v>71239.82</v>
      </c>
      <c r="P17" s="8">
        <v>22362.14</v>
      </c>
      <c r="Q17" s="9">
        <f t="shared" si="4"/>
        <v>93601.96</v>
      </c>
      <c r="R17" s="9">
        <f t="shared" si="5"/>
        <v>-25876.219999999987</v>
      </c>
    </row>
    <row r="18" spans="1:18" ht="12.75">
      <c r="A18" s="5">
        <v>11</v>
      </c>
      <c r="B18" s="80" t="s">
        <v>31</v>
      </c>
      <c r="C18" s="80"/>
      <c r="D18" s="5">
        <v>9</v>
      </c>
      <c r="E18" s="5">
        <v>34</v>
      </c>
      <c r="F18" s="5">
        <v>1</v>
      </c>
      <c r="G18" s="5">
        <v>1</v>
      </c>
      <c r="H18" s="5">
        <v>670.3</v>
      </c>
      <c r="I18" s="5">
        <v>280.2</v>
      </c>
      <c r="J18" s="5">
        <v>3515</v>
      </c>
      <c r="K18" s="6">
        <v>1640.1</v>
      </c>
      <c r="L18" s="7">
        <v>20632.94</v>
      </c>
      <c r="M18" s="7">
        <v>6476.66</v>
      </c>
      <c r="N18" s="8">
        <f>SUM(L18:M18)</f>
        <v>27109.6</v>
      </c>
      <c r="O18" s="8">
        <v>13437.71</v>
      </c>
      <c r="P18" s="8">
        <v>4218.08</v>
      </c>
      <c r="Q18" s="9">
        <f t="shared" si="4"/>
        <v>17655.79</v>
      </c>
      <c r="R18" s="9">
        <f t="shared" si="5"/>
        <v>-9453.809999999998</v>
      </c>
    </row>
    <row r="19" spans="1:18" ht="12.75">
      <c r="A19" s="5">
        <v>12</v>
      </c>
      <c r="B19" s="80" t="s">
        <v>32</v>
      </c>
      <c r="C19" s="80"/>
      <c r="D19" s="5">
        <v>9</v>
      </c>
      <c r="E19" s="5">
        <v>213</v>
      </c>
      <c r="F19" s="5">
        <v>6</v>
      </c>
      <c r="G19" s="5">
        <v>6</v>
      </c>
      <c r="H19" s="5">
        <v>1637.3</v>
      </c>
      <c r="I19" s="5">
        <v>1762.4</v>
      </c>
      <c r="J19" s="5">
        <v>7777</v>
      </c>
      <c r="K19" s="6">
        <v>10994.5</v>
      </c>
      <c r="L19" s="7">
        <v>137777.71</v>
      </c>
      <c r="M19" s="7">
        <v>43248.11</v>
      </c>
      <c r="N19" s="8">
        <f aca="true" t="shared" si="6" ref="N19:N25">L19+M19</f>
        <v>181025.82</v>
      </c>
      <c r="O19" s="8">
        <v>80303.74</v>
      </c>
      <c r="P19" s="8">
        <v>25207.16</v>
      </c>
      <c r="Q19" s="9">
        <f t="shared" si="4"/>
        <v>105510.90000000001</v>
      </c>
      <c r="R19" s="9">
        <f t="shared" si="5"/>
        <v>-75514.92</v>
      </c>
    </row>
    <row r="20" spans="1:18" ht="12.75">
      <c r="A20" s="5">
        <v>13</v>
      </c>
      <c r="B20" s="80" t="s">
        <v>33</v>
      </c>
      <c r="C20" s="80"/>
      <c r="D20" s="5">
        <v>9</v>
      </c>
      <c r="E20" s="5">
        <v>35</v>
      </c>
      <c r="F20" s="5">
        <v>1</v>
      </c>
      <c r="G20" s="5">
        <v>1</v>
      </c>
      <c r="H20" s="5">
        <v>282.4</v>
      </c>
      <c r="I20" s="5">
        <v>281.6</v>
      </c>
      <c r="J20" s="5">
        <v>2272</v>
      </c>
      <c r="K20" s="6">
        <v>1789.8</v>
      </c>
      <c r="L20" s="7">
        <v>21607.02</v>
      </c>
      <c r="M20" s="7">
        <v>6782.43</v>
      </c>
      <c r="N20" s="8">
        <f t="shared" si="6"/>
        <v>28389.45</v>
      </c>
      <c r="O20" s="8">
        <v>25102.7</v>
      </c>
      <c r="P20" s="8">
        <v>7879.72</v>
      </c>
      <c r="Q20" s="9">
        <f t="shared" si="4"/>
        <v>32982.42</v>
      </c>
      <c r="R20" s="9">
        <f t="shared" si="5"/>
        <v>4592.9699999999975</v>
      </c>
    </row>
    <row r="21" spans="1:18" ht="12.75">
      <c r="A21" s="5">
        <v>14</v>
      </c>
      <c r="B21" s="80" t="s">
        <v>34</v>
      </c>
      <c r="C21" s="80"/>
      <c r="D21" s="5">
        <v>9</v>
      </c>
      <c r="E21" s="5">
        <v>177</v>
      </c>
      <c r="F21" s="5">
        <v>5</v>
      </c>
      <c r="G21" s="5">
        <v>5</v>
      </c>
      <c r="H21" s="5">
        <v>1360.2</v>
      </c>
      <c r="I21" s="5">
        <v>1464.1</v>
      </c>
      <c r="J21" s="5">
        <v>9415</v>
      </c>
      <c r="K21" s="6">
        <v>9174.2</v>
      </c>
      <c r="L21" s="7">
        <v>115231.51</v>
      </c>
      <c r="M21" s="7">
        <v>36171.08</v>
      </c>
      <c r="N21" s="8">
        <f t="shared" si="6"/>
        <v>151402.59</v>
      </c>
      <c r="O21" s="8">
        <v>68309.67</v>
      </c>
      <c r="P21" s="8">
        <v>21442.35</v>
      </c>
      <c r="Q21" s="9">
        <f t="shared" si="4"/>
        <v>89752.01999999999</v>
      </c>
      <c r="R21" s="9">
        <f t="shared" si="5"/>
        <v>-61650.57000000001</v>
      </c>
    </row>
    <row r="22" spans="1:18" ht="12.75">
      <c r="A22" s="5">
        <v>15</v>
      </c>
      <c r="B22" s="80" t="s">
        <v>35</v>
      </c>
      <c r="C22" s="80"/>
      <c r="D22" s="5">
        <v>9</v>
      </c>
      <c r="E22" s="5">
        <v>213</v>
      </c>
      <c r="F22" s="5">
        <v>6</v>
      </c>
      <c r="G22" s="5">
        <v>6</v>
      </c>
      <c r="H22" s="5">
        <v>1665.5</v>
      </c>
      <c r="I22" s="5">
        <v>1760.1</v>
      </c>
      <c r="J22" s="5">
        <v>9999</v>
      </c>
      <c r="K22" s="6">
        <v>11065</v>
      </c>
      <c r="L22" s="7">
        <v>138632.66</v>
      </c>
      <c r="M22" s="7">
        <v>43516.64</v>
      </c>
      <c r="N22" s="8">
        <f t="shared" si="6"/>
        <v>182149.3</v>
      </c>
      <c r="O22" s="8">
        <v>86249.04</v>
      </c>
      <c r="P22" s="8">
        <v>27073.48</v>
      </c>
      <c r="Q22" s="9">
        <f t="shared" si="4"/>
        <v>113322.51999999999</v>
      </c>
      <c r="R22" s="9">
        <f t="shared" si="5"/>
        <v>-68826.78</v>
      </c>
    </row>
    <row r="23" spans="1:18" ht="12.75">
      <c r="A23" s="5">
        <v>16</v>
      </c>
      <c r="B23" s="80" t="s">
        <v>36</v>
      </c>
      <c r="C23" s="80"/>
      <c r="D23" s="5">
        <v>9</v>
      </c>
      <c r="E23" s="5">
        <v>213</v>
      </c>
      <c r="F23" s="5">
        <v>6</v>
      </c>
      <c r="G23" s="5">
        <v>6</v>
      </c>
      <c r="H23" s="5">
        <v>1684.1</v>
      </c>
      <c r="I23" s="5">
        <v>1750.2</v>
      </c>
      <c r="J23" s="5">
        <v>7454</v>
      </c>
      <c r="K23" s="6">
        <v>10840.2</v>
      </c>
      <c r="L23" s="7">
        <v>135637.9</v>
      </c>
      <c r="M23" s="7">
        <v>42576.51</v>
      </c>
      <c r="N23" s="8">
        <f t="shared" si="6"/>
        <v>178214.41</v>
      </c>
      <c r="O23" s="8">
        <v>101360.26</v>
      </c>
      <c r="P23" s="8">
        <v>31816.82</v>
      </c>
      <c r="Q23" s="9">
        <f t="shared" si="4"/>
        <v>133177.08</v>
      </c>
      <c r="R23" s="9">
        <f t="shared" si="5"/>
        <v>-45037.330000000016</v>
      </c>
    </row>
    <row r="24" spans="1:18" ht="12.75">
      <c r="A24" s="5">
        <v>17</v>
      </c>
      <c r="B24" s="80" t="s">
        <v>37</v>
      </c>
      <c r="C24" s="80"/>
      <c r="D24" s="5">
        <v>9</v>
      </c>
      <c r="E24" s="5">
        <v>142</v>
      </c>
      <c r="F24" s="5">
        <v>4</v>
      </c>
      <c r="G24" s="5">
        <v>4</v>
      </c>
      <c r="H24" s="5">
        <v>946.4</v>
      </c>
      <c r="I24" s="5">
        <v>1159.4</v>
      </c>
      <c r="J24" s="5">
        <v>6191</v>
      </c>
      <c r="K24" s="6">
        <v>7173.2</v>
      </c>
      <c r="L24" s="7">
        <v>90219.12</v>
      </c>
      <c r="M24" s="7">
        <v>28319.71</v>
      </c>
      <c r="N24" s="8">
        <f t="shared" si="6"/>
        <v>118538.82999999999</v>
      </c>
      <c r="O24" s="8">
        <v>50079.03</v>
      </c>
      <c r="P24" s="8">
        <v>15719.77</v>
      </c>
      <c r="Q24" s="9">
        <f t="shared" si="4"/>
        <v>65798.8</v>
      </c>
      <c r="R24" s="9">
        <f t="shared" si="5"/>
        <v>-52740.029999999984</v>
      </c>
    </row>
    <row r="25" spans="1:18" ht="12.75">
      <c r="A25" s="5">
        <v>18</v>
      </c>
      <c r="B25" s="80" t="s">
        <v>38</v>
      </c>
      <c r="C25" s="80"/>
      <c r="D25" s="5">
        <v>9</v>
      </c>
      <c r="E25" s="5">
        <v>212</v>
      </c>
      <c r="F25" s="5">
        <v>6</v>
      </c>
      <c r="G25" s="5">
        <v>6</v>
      </c>
      <c r="H25" s="5">
        <v>1708.1</v>
      </c>
      <c r="I25" s="5">
        <v>1751.9</v>
      </c>
      <c r="J25" s="5">
        <v>6532</v>
      </c>
      <c r="K25" s="6">
        <v>10814.2</v>
      </c>
      <c r="L25" s="7">
        <v>136198.92</v>
      </c>
      <c r="M25" s="7">
        <v>42752.66</v>
      </c>
      <c r="N25" s="8">
        <f t="shared" si="6"/>
        <v>178951.58000000002</v>
      </c>
      <c r="O25" s="8">
        <v>92784.96</v>
      </c>
      <c r="P25" s="8">
        <v>29125.07</v>
      </c>
      <c r="Q25" s="9">
        <f t="shared" si="4"/>
        <v>121910.03</v>
      </c>
      <c r="R25" s="9">
        <f t="shared" si="5"/>
        <v>-57041.55000000002</v>
      </c>
    </row>
    <row r="26" spans="1:18" ht="12.75">
      <c r="A26" s="5">
        <v>19</v>
      </c>
      <c r="B26" s="80" t="s">
        <v>39</v>
      </c>
      <c r="C26" s="80"/>
      <c r="D26" s="5">
        <v>9</v>
      </c>
      <c r="E26" s="5">
        <v>34</v>
      </c>
      <c r="F26" s="5">
        <v>1</v>
      </c>
      <c r="G26" s="5">
        <v>1</v>
      </c>
      <c r="H26" s="5">
        <v>287.2</v>
      </c>
      <c r="I26" s="5">
        <v>280.7</v>
      </c>
      <c r="J26" s="5">
        <v>2861</v>
      </c>
      <c r="K26" s="6">
        <v>1656.8</v>
      </c>
      <c r="L26" s="7">
        <v>20664.28</v>
      </c>
      <c r="M26" s="7">
        <v>6486.46</v>
      </c>
      <c r="N26" s="8">
        <f>SUM(L26:M26)</f>
        <v>27150.739999999998</v>
      </c>
      <c r="O26" s="8">
        <v>15115</v>
      </c>
      <c r="P26" s="8">
        <v>4744.55</v>
      </c>
      <c r="Q26" s="9">
        <f t="shared" si="4"/>
        <v>19859.55</v>
      </c>
      <c r="R26" s="9">
        <f t="shared" si="5"/>
        <v>-7291.189999999999</v>
      </c>
    </row>
    <row r="27" spans="1:18" ht="12.75">
      <c r="A27" s="5">
        <v>20</v>
      </c>
      <c r="B27" s="80" t="s">
        <v>40</v>
      </c>
      <c r="C27" s="80"/>
      <c r="D27" s="5">
        <v>9</v>
      </c>
      <c r="E27" s="5">
        <v>214</v>
      </c>
      <c r="F27" s="5">
        <v>6</v>
      </c>
      <c r="G27" s="5">
        <v>6</v>
      </c>
      <c r="H27" s="5">
        <v>1704.9</v>
      </c>
      <c r="I27" s="5">
        <v>1746</v>
      </c>
      <c r="J27" s="5">
        <v>6792</v>
      </c>
      <c r="K27" s="6">
        <v>10901.9</v>
      </c>
      <c r="L27" s="7">
        <v>136416.63</v>
      </c>
      <c r="M27" s="7">
        <v>42821.05</v>
      </c>
      <c r="N27" s="8">
        <f>L27+M27</f>
        <v>179237.68</v>
      </c>
      <c r="O27" s="8">
        <v>87764.34</v>
      </c>
      <c r="P27" s="8">
        <v>27549.14</v>
      </c>
      <c r="Q27" s="9">
        <f t="shared" si="4"/>
        <v>115313.48</v>
      </c>
      <c r="R27" s="9">
        <f t="shared" si="5"/>
        <v>-63924.2</v>
      </c>
    </row>
    <row r="28" spans="1:18" ht="12.75">
      <c r="A28" s="5">
        <v>21</v>
      </c>
      <c r="B28" s="80" t="s">
        <v>41</v>
      </c>
      <c r="C28" s="80"/>
      <c r="D28" s="5">
        <v>9</v>
      </c>
      <c r="E28" s="5">
        <v>34</v>
      </c>
      <c r="F28" s="5">
        <v>1</v>
      </c>
      <c r="G28" s="5">
        <v>1</v>
      </c>
      <c r="H28" s="5">
        <v>294.7</v>
      </c>
      <c r="I28" s="5">
        <v>278.5</v>
      </c>
      <c r="J28" s="5">
        <v>3853</v>
      </c>
      <c r="K28" s="6">
        <v>1673.8</v>
      </c>
      <c r="L28" s="7">
        <v>20943.46</v>
      </c>
      <c r="M28" s="7">
        <v>6574.13</v>
      </c>
      <c r="N28" s="8">
        <f>L28+M28</f>
        <v>27517.59</v>
      </c>
      <c r="O28" s="8">
        <v>13142.88</v>
      </c>
      <c r="P28" s="8">
        <v>4125.53</v>
      </c>
      <c r="Q28" s="9">
        <f>SUM(O28:P28)</f>
        <v>17268.41</v>
      </c>
      <c r="R28" s="9">
        <f t="shared" si="5"/>
        <v>-10249.18</v>
      </c>
    </row>
    <row r="29" spans="1:18" ht="12.75">
      <c r="A29" s="5">
        <v>22</v>
      </c>
      <c r="B29" s="80" t="s">
        <v>42</v>
      </c>
      <c r="C29" s="80"/>
      <c r="D29" s="5">
        <v>9</v>
      </c>
      <c r="E29" s="5">
        <v>107</v>
      </c>
      <c r="F29" s="5">
        <v>3</v>
      </c>
      <c r="G29" s="5">
        <v>3</v>
      </c>
      <c r="H29" s="5">
        <v>833.4</v>
      </c>
      <c r="I29" s="5">
        <v>889.9</v>
      </c>
      <c r="J29" s="5">
        <v>3798</v>
      </c>
      <c r="K29" s="6">
        <v>5727.1</v>
      </c>
      <c r="L29" s="7">
        <v>69650</v>
      </c>
      <c r="M29" s="7">
        <v>21863.02</v>
      </c>
      <c r="N29" s="8">
        <f>L29+M29</f>
        <v>91513.02</v>
      </c>
      <c r="O29" s="8">
        <v>54760.21</v>
      </c>
      <c r="P29" s="8">
        <v>17189.14</v>
      </c>
      <c r="Q29" s="9">
        <f t="shared" si="4"/>
        <v>71949.35</v>
      </c>
      <c r="R29" s="9">
        <f t="shared" si="5"/>
        <v>-19563.67</v>
      </c>
    </row>
    <row r="30" spans="1:18" ht="12.75">
      <c r="A30" s="10"/>
      <c r="B30" s="81" t="s">
        <v>26</v>
      </c>
      <c r="C30" s="82"/>
      <c r="D30" s="10">
        <f aca="true" t="shared" si="7" ref="D30:P30">SUM(D15:D29)</f>
        <v>136</v>
      </c>
      <c r="E30" s="10">
        <f t="shared" si="7"/>
        <v>2020</v>
      </c>
      <c r="F30" s="10">
        <f t="shared" si="7"/>
        <v>57</v>
      </c>
      <c r="G30" s="10">
        <f t="shared" si="7"/>
        <v>57</v>
      </c>
      <c r="H30" s="10">
        <f t="shared" si="7"/>
        <v>16124.000000000002</v>
      </c>
      <c r="I30" s="10">
        <f t="shared" si="7"/>
        <v>16646.300000000003</v>
      </c>
      <c r="J30" s="10">
        <f t="shared" si="7"/>
        <v>82627</v>
      </c>
      <c r="K30" s="11">
        <f t="shared" si="7"/>
        <v>103727.7</v>
      </c>
      <c r="L30" s="9">
        <f t="shared" si="7"/>
        <v>1282634.9900000002</v>
      </c>
      <c r="M30" s="9">
        <f t="shared" si="7"/>
        <v>407157.8800000001</v>
      </c>
      <c r="N30" s="12">
        <f t="shared" si="7"/>
        <v>1689792.8699999999</v>
      </c>
      <c r="O30" s="12">
        <f t="shared" si="7"/>
        <v>875565.0299999999</v>
      </c>
      <c r="P30" s="12">
        <f t="shared" si="7"/>
        <v>277995.76999999996</v>
      </c>
      <c r="Q30" s="9">
        <f t="shared" si="4"/>
        <v>1153560.7999999998</v>
      </c>
      <c r="R30" s="9">
        <f t="shared" si="5"/>
        <v>-536232.0700000001</v>
      </c>
    </row>
    <row r="31" spans="1:18" ht="12.75">
      <c r="A31" s="10"/>
      <c r="B31" s="79" t="s">
        <v>43</v>
      </c>
      <c r="C31" s="79"/>
      <c r="D31" s="10">
        <f aca="true" t="shared" si="8" ref="D31:Q31">D13+D30</f>
        <v>171</v>
      </c>
      <c r="E31" s="10">
        <f t="shared" si="8"/>
        <v>2715</v>
      </c>
      <c r="F31" s="10">
        <f t="shared" si="8"/>
        <v>57</v>
      </c>
      <c r="G31" s="10">
        <f t="shared" si="8"/>
        <v>101</v>
      </c>
      <c r="H31" s="10">
        <f t="shared" si="8"/>
        <v>20202.800000000003</v>
      </c>
      <c r="I31" s="10">
        <f t="shared" si="8"/>
        <v>24983.000000000004</v>
      </c>
      <c r="J31" s="10">
        <f t="shared" si="8"/>
        <v>117165</v>
      </c>
      <c r="K31" s="10">
        <f t="shared" si="8"/>
        <v>134757</v>
      </c>
      <c r="L31" s="9">
        <f t="shared" si="8"/>
        <v>1554927.4300000002</v>
      </c>
      <c r="M31" s="10">
        <f t="shared" si="8"/>
        <v>494924.7300000001</v>
      </c>
      <c r="N31" s="9">
        <f t="shared" si="8"/>
        <v>2049852.16</v>
      </c>
      <c r="O31" s="9">
        <f t="shared" si="8"/>
        <v>1073645.8399999999</v>
      </c>
      <c r="P31" s="10">
        <f t="shared" si="8"/>
        <v>341842.32999999996</v>
      </c>
      <c r="Q31" s="9">
        <f t="shared" si="8"/>
        <v>1415488.17</v>
      </c>
      <c r="R31" s="9">
        <f t="shared" si="5"/>
        <v>-634363.99</v>
      </c>
    </row>
    <row r="32" spans="1:18" ht="12.75">
      <c r="A32" s="13"/>
      <c r="B32" s="14"/>
      <c r="C32" s="14"/>
      <c r="D32" s="13"/>
      <c r="E32" s="15"/>
      <c r="F32" s="15"/>
      <c r="G32" s="15"/>
      <c r="H32" s="16"/>
      <c r="I32" s="16"/>
      <c r="J32" s="16"/>
      <c r="K32" s="16"/>
      <c r="L32" s="16"/>
      <c r="M32" s="16"/>
      <c r="N32" s="17"/>
      <c r="O32" s="17"/>
      <c r="P32" s="17"/>
      <c r="Q32" s="17"/>
      <c r="R32" s="17"/>
    </row>
    <row r="33" spans="1:18" ht="12.75">
      <c r="A33" s="13"/>
      <c r="B33" s="14"/>
      <c r="C33" s="14"/>
      <c r="D33" s="13"/>
      <c r="E33" s="15"/>
      <c r="F33" s="15"/>
      <c r="G33" s="15"/>
      <c r="H33" s="16"/>
      <c r="I33" s="16"/>
      <c r="J33" s="16"/>
      <c r="K33" s="16"/>
      <c r="L33" s="16"/>
      <c r="M33" s="16"/>
      <c r="N33" s="17"/>
      <c r="O33" s="17"/>
      <c r="P33" s="17"/>
      <c r="Q33" s="17"/>
      <c r="R33" s="17"/>
    </row>
    <row r="34" spans="1:16" ht="12.75">
      <c r="A34" s="1"/>
      <c r="K34" s="3"/>
      <c r="L34" s="1"/>
      <c r="M34" s="1"/>
      <c r="N34" s="1"/>
      <c r="O34" s="1"/>
      <c r="P34" s="1"/>
    </row>
    <row r="35" spans="1:16" ht="12.75">
      <c r="A35" s="1"/>
      <c r="B35" t="s">
        <v>44</v>
      </c>
      <c r="H35" s="3"/>
      <c r="K35" s="3"/>
      <c r="L35" s="1"/>
      <c r="M35" s="1"/>
      <c r="N35" s="1"/>
      <c r="O35" s="1"/>
      <c r="P35" s="1"/>
    </row>
  </sheetData>
  <sheetProtection/>
  <mergeCells count="43">
    <mergeCell ref="C1:M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B11:C11"/>
    <mergeCell ref="B12:C12"/>
    <mergeCell ref="Q3:Q4"/>
    <mergeCell ref="R3:R4"/>
    <mergeCell ref="A5:R5"/>
    <mergeCell ref="B6:C6"/>
    <mergeCell ref="K3:K4"/>
    <mergeCell ref="L3:M3"/>
    <mergeCell ref="N3:N4"/>
    <mergeCell ref="O3:P3"/>
    <mergeCell ref="B7:C7"/>
    <mergeCell ref="B8:C8"/>
    <mergeCell ref="B9:C9"/>
    <mergeCell ref="B10:C10"/>
    <mergeCell ref="B17:C17"/>
    <mergeCell ref="B18:C18"/>
    <mergeCell ref="B19:C19"/>
    <mergeCell ref="B20:C20"/>
    <mergeCell ref="B13:C13"/>
    <mergeCell ref="A14:R14"/>
    <mergeCell ref="B15:C15"/>
    <mergeCell ref="B16:C16"/>
    <mergeCell ref="B21:C21"/>
    <mergeCell ref="B22:C22"/>
    <mergeCell ref="B25:C25"/>
    <mergeCell ref="B26:C26"/>
    <mergeCell ref="B23:C23"/>
    <mergeCell ref="B24:C24"/>
    <mergeCell ref="B31:C31"/>
    <mergeCell ref="B27:C27"/>
    <mergeCell ref="B28:C28"/>
    <mergeCell ref="B29:C29"/>
    <mergeCell ref="B30:C3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K10" sqref="K10:O10"/>
    </sheetView>
  </sheetViews>
  <sheetFormatPr defaultColWidth="9.00390625" defaultRowHeight="12.75"/>
  <cols>
    <col min="1" max="1" width="3.625" style="0" customWidth="1"/>
    <col min="3" max="3" width="3.625" style="0" customWidth="1"/>
    <col min="4" max="4" width="4.00390625" style="0" bestFit="1" customWidth="1"/>
    <col min="5" max="5" width="5.125" style="0" customWidth="1"/>
    <col min="6" max="7" width="5.00390625" style="0" customWidth="1"/>
    <col min="8" max="8" width="11.25390625" style="0" customWidth="1"/>
    <col min="9" max="9" width="10.875" style="0" bestFit="1" customWidth="1"/>
    <col min="10" max="10" width="11.375" style="0" bestFit="1" customWidth="1"/>
    <col min="11" max="11" width="10.625" style="0" bestFit="1" customWidth="1"/>
    <col min="12" max="12" width="9.00390625" style="0" bestFit="1" customWidth="1"/>
    <col min="13" max="13" width="11.625" style="0" bestFit="1" customWidth="1"/>
    <col min="14" max="14" width="11.875" style="0" customWidth="1"/>
    <col min="15" max="15" width="12.00390625" style="0" bestFit="1" customWidth="1"/>
    <col min="17" max="17" width="11.25390625" style="22" customWidth="1"/>
  </cols>
  <sheetData>
    <row r="1" spans="1:15" ht="12.75">
      <c r="A1" s="1"/>
      <c r="C1" s="92" t="s">
        <v>74</v>
      </c>
      <c r="D1" s="92"/>
      <c r="E1" s="92"/>
      <c r="F1" s="92"/>
      <c r="G1" s="92"/>
      <c r="H1" s="92"/>
      <c r="I1" s="92"/>
      <c r="J1" s="92"/>
      <c r="K1" s="93"/>
      <c r="L1" s="93"/>
      <c r="M1" s="93"/>
      <c r="N1" s="93"/>
      <c r="O1" s="1"/>
    </row>
    <row r="2" spans="1:17" ht="12.75">
      <c r="A2" s="1"/>
      <c r="C2" s="1"/>
      <c r="D2" s="1"/>
      <c r="E2" s="1"/>
      <c r="F2" s="1"/>
      <c r="G2" s="1"/>
      <c r="H2" s="1"/>
      <c r="I2" s="1"/>
      <c r="J2" s="1"/>
      <c r="K2" s="1"/>
      <c r="L2" s="3"/>
      <c r="M2" s="1"/>
      <c r="N2" s="1"/>
      <c r="O2" s="1"/>
      <c r="Q2" s="23"/>
    </row>
    <row r="3" spans="1:15" ht="12.75" customHeight="1">
      <c r="A3" s="94" t="s">
        <v>1</v>
      </c>
      <c r="B3" s="95" t="s">
        <v>2</v>
      </c>
      <c r="C3" s="95"/>
      <c r="D3" s="96" t="s">
        <v>3</v>
      </c>
      <c r="E3" s="97" t="s">
        <v>4</v>
      </c>
      <c r="F3" s="97" t="s">
        <v>5</v>
      </c>
      <c r="G3" s="97" t="s">
        <v>6</v>
      </c>
      <c r="H3" s="87" t="s">
        <v>11</v>
      </c>
      <c r="I3" s="88"/>
      <c r="J3" s="89" t="s">
        <v>12</v>
      </c>
      <c r="K3" s="117" t="s">
        <v>75</v>
      </c>
      <c r="L3" s="117" t="s">
        <v>70</v>
      </c>
      <c r="M3" s="117" t="s">
        <v>73</v>
      </c>
      <c r="N3" s="112" t="s">
        <v>71</v>
      </c>
      <c r="O3" s="112" t="s">
        <v>72</v>
      </c>
    </row>
    <row r="4" spans="1:17" ht="68.25" customHeight="1">
      <c r="A4" s="94"/>
      <c r="B4" s="95"/>
      <c r="C4" s="95"/>
      <c r="D4" s="96"/>
      <c r="E4" s="97"/>
      <c r="F4" s="97"/>
      <c r="G4" s="97"/>
      <c r="H4" s="4" t="s">
        <v>16</v>
      </c>
      <c r="I4" s="4" t="s">
        <v>17</v>
      </c>
      <c r="J4" s="90"/>
      <c r="K4" s="118"/>
      <c r="L4" s="119"/>
      <c r="M4" s="119"/>
      <c r="N4" s="113"/>
      <c r="O4" s="113"/>
      <c r="Q4" s="31"/>
    </row>
    <row r="5" spans="1:17" ht="12.75">
      <c r="A5" s="83" t="s">
        <v>18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5"/>
      <c r="Q5" s="32"/>
    </row>
    <row r="6" spans="1:17" ht="12.75">
      <c r="A6" s="5">
        <v>1</v>
      </c>
      <c r="B6" s="80" t="s">
        <v>19</v>
      </c>
      <c r="C6" s="80"/>
      <c r="D6" s="5">
        <v>5</v>
      </c>
      <c r="E6" s="5">
        <v>77</v>
      </c>
      <c r="F6" s="5"/>
      <c r="G6" s="5">
        <v>5</v>
      </c>
      <c r="H6" s="7">
        <f>12*30824.88</f>
        <v>369898.56</v>
      </c>
      <c r="I6" s="7">
        <f>12*9935.69</f>
        <v>119228.28</v>
      </c>
      <c r="J6" s="8">
        <f>H6+I6</f>
        <v>489126.83999999997</v>
      </c>
      <c r="K6" s="7">
        <v>295258</v>
      </c>
      <c r="L6" s="5">
        <v>858073</v>
      </c>
      <c r="M6" s="5">
        <v>348449</v>
      </c>
      <c r="N6" s="7">
        <f>K6+L6+M6</f>
        <v>1501780</v>
      </c>
      <c r="O6" s="9">
        <f>J6+N6</f>
        <v>1990906.8399999999</v>
      </c>
      <c r="Q6" s="33"/>
    </row>
    <row r="7" spans="1:17" ht="12.75">
      <c r="A7" s="5">
        <v>2</v>
      </c>
      <c r="B7" s="80" t="s">
        <v>20</v>
      </c>
      <c r="C7" s="80"/>
      <c r="D7" s="5">
        <v>5</v>
      </c>
      <c r="E7" s="5">
        <v>50</v>
      </c>
      <c r="F7" s="5"/>
      <c r="G7" s="5">
        <v>3</v>
      </c>
      <c r="H7" s="7">
        <f>12*20123.78</f>
        <v>241485.36</v>
      </c>
      <c r="I7" s="7">
        <f>12*6486.43</f>
        <v>77837.16</v>
      </c>
      <c r="J7" s="8">
        <f>H7+I7</f>
        <v>319322.52</v>
      </c>
      <c r="K7" s="5">
        <v>214202</v>
      </c>
      <c r="L7" s="5">
        <v>585973</v>
      </c>
      <c r="M7" s="5">
        <v>225691</v>
      </c>
      <c r="N7" s="5">
        <f>K7+L7+M7</f>
        <v>1025866</v>
      </c>
      <c r="O7" s="9">
        <f>J7+N7</f>
        <v>1345188.52</v>
      </c>
      <c r="Q7" s="33"/>
    </row>
    <row r="8" spans="1:17" ht="12.75">
      <c r="A8" s="5">
        <v>3</v>
      </c>
      <c r="B8" s="80" t="s">
        <v>21</v>
      </c>
      <c r="C8" s="80"/>
      <c r="D8" s="5">
        <v>5</v>
      </c>
      <c r="E8" s="5">
        <v>100</v>
      </c>
      <c r="F8" s="5"/>
      <c r="G8" s="5">
        <v>6</v>
      </c>
      <c r="H8" s="7">
        <f>12*40057.82</f>
        <v>480693.83999999997</v>
      </c>
      <c r="I8" s="7">
        <f>12*12911.62</f>
        <v>154939.44</v>
      </c>
      <c r="J8" s="8">
        <f>H8+I8</f>
        <v>635633.28</v>
      </c>
      <c r="K8" s="5">
        <v>399156</v>
      </c>
      <c r="L8" s="5">
        <v>1095438</v>
      </c>
      <c r="M8" s="5">
        <v>453516</v>
      </c>
      <c r="N8" s="5">
        <f>K8+L8+M8</f>
        <v>1948110</v>
      </c>
      <c r="O8" s="9">
        <f>J8+N8</f>
        <v>2583743.2800000003</v>
      </c>
      <c r="Q8" s="33"/>
    </row>
    <row r="9" spans="1:17" ht="12.75">
      <c r="A9" s="5">
        <v>4</v>
      </c>
      <c r="B9" s="80" t="s">
        <v>22</v>
      </c>
      <c r="C9" s="80"/>
      <c r="D9" s="5">
        <v>5</v>
      </c>
      <c r="E9" s="5">
        <v>109</v>
      </c>
      <c r="F9" s="5"/>
      <c r="G9" s="5">
        <v>7</v>
      </c>
      <c r="H9" s="7">
        <f>12*42506.58</f>
        <v>510078.96</v>
      </c>
      <c r="I9" s="7">
        <f>12*13700.96</f>
        <v>164411.52</v>
      </c>
      <c r="J9" s="8">
        <f>H9+I9</f>
        <v>674490.48</v>
      </c>
      <c r="K9" s="5">
        <v>453042</v>
      </c>
      <c r="L9" s="5">
        <v>1224233</v>
      </c>
      <c r="M9" s="5">
        <v>493662</v>
      </c>
      <c r="N9" s="5">
        <f>K9+L9+M9</f>
        <v>2170937</v>
      </c>
      <c r="O9" s="9">
        <f>N9+J9</f>
        <v>2845427.48</v>
      </c>
      <c r="Q9" s="33"/>
    </row>
    <row r="10" spans="1:17" ht="12.75">
      <c r="A10" s="10"/>
      <c r="B10" s="81" t="s">
        <v>26</v>
      </c>
      <c r="C10" s="82"/>
      <c r="D10" s="10">
        <f>SUM(D6:D9)</f>
        <v>20</v>
      </c>
      <c r="E10" s="10">
        <f>SUM(E6:E9)</f>
        <v>336</v>
      </c>
      <c r="F10" s="10"/>
      <c r="G10" s="10">
        <f>SUM(G6:G9)</f>
        <v>21</v>
      </c>
      <c r="H10" s="9">
        <f>SUM(H6:H9)</f>
        <v>1602156.7199999997</v>
      </c>
      <c r="I10" s="9">
        <f>SUM(I6:I9)</f>
        <v>516416.4</v>
      </c>
      <c r="J10" s="12">
        <f>SUM(J6:J9)</f>
        <v>2118573.12</v>
      </c>
      <c r="K10" s="7">
        <f>K6+K8+K7+K9</f>
        <v>1361658</v>
      </c>
      <c r="L10" s="5">
        <f>L6+L7+L8+L9</f>
        <v>3763717</v>
      </c>
      <c r="M10" s="5">
        <f>M6+M7+M8+M9</f>
        <v>1521318</v>
      </c>
      <c r="N10" s="7">
        <f>N6+N7+N8+N9</f>
        <v>6646693</v>
      </c>
      <c r="O10" s="9">
        <f>O6+O7+O8+O9</f>
        <v>8765266.120000001</v>
      </c>
      <c r="Q10" s="34"/>
    </row>
    <row r="11" spans="1:17" ht="12.75">
      <c r="A11" s="83" t="s">
        <v>27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5"/>
      <c r="Q11" s="32"/>
    </row>
    <row r="12" spans="1:17" ht="12.75">
      <c r="A12" s="5">
        <v>5</v>
      </c>
      <c r="B12" s="80" t="s">
        <v>29</v>
      </c>
      <c r="C12" s="80"/>
      <c r="D12" s="5">
        <v>10</v>
      </c>
      <c r="E12" s="5">
        <v>78</v>
      </c>
      <c r="F12" s="5">
        <v>2</v>
      </c>
      <c r="G12" s="5">
        <v>2</v>
      </c>
      <c r="H12" s="7">
        <v>623766.12</v>
      </c>
      <c r="I12" s="7">
        <f>12*16316.62</f>
        <v>195799.44</v>
      </c>
      <c r="J12" s="8">
        <f>H12+I12</f>
        <v>819565.56</v>
      </c>
      <c r="K12" s="5">
        <v>318430</v>
      </c>
      <c r="L12" s="5">
        <v>983173</v>
      </c>
      <c r="M12" s="5">
        <v>464957</v>
      </c>
      <c r="N12" s="5">
        <f aca="true" t="shared" si="0" ref="N12:N20">K12+L12+M12</f>
        <v>1766560</v>
      </c>
      <c r="O12" s="9">
        <f>N12+J12</f>
        <v>2586125.56</v>
      </c>
      <c r="Q12" s="33"/>
    </row>
    <row r="13" spans="1:17" ht="12.75">
      <c r="A13" s="5">
        <v>6</v>
      </c>
      <c r="B13" s="80" t="s">
        <v>30</v>
      </c>
      <c r="C13" s="80"/>
      <c r="D13" s="5">
        <v>9</v>
      </c>
      <c r="E13" s="5">
        <v>142</v>
      </c>
      <c r="F13" s="5">
        <v>4</v>
      </c>
      <c r="G13" s="5">
        <v>4</v>
      </c>
      <c r="H13" s="7">
        <f>12*90934.04</f>
        <v>1091208.48</v>
      </c>
      <c r="I13" s="7">
        <f>12*28544.14</f>
        <v>342529.68</v>
      </c>
      <c r="J13" s="8">
        <f>H13+I13</f>
        <v>1433738.16</v>
      </c>
      <c r="K13" s="5">
        <v>544934</v>
      </c>
      <c r="L13" s="5">
        <v>1783159</v>
      </c>
      <c r="M13" s="5">
        <v>702249</v>
      </c>
      <c r="N13" s="5">
        <f t="shared" si="0"/>
        <v>3030342</v>
      </c>
      <c r="O13" s="9">
        <f>N13+J13</f>
        <v>4464080.16</v>
      </c>
      <c r="Q13" s="33"/>
    </row>
    <row r="14" spans="1:17" ht="12.75">
      <c r="A14" s="5">
        <v>7</v>
      </c>
      <c r="B14" s="80" t="s">
        <v>31</v>
      </c>
      <c r="C14" s="80"/>
      <c r="D14" s="5">
        <v>9</v>
      </c>
      <c r="E14" s="5">
        <v>34</v>
      </c>
      <c r="F14" s="5">
        <v>1</v>
      </c>
      <c r="G14" s="5">
        <v>1</v>
      </c>
      <c r="H14" s="7">
        <f>12*20632.94</f>
        <v>247595.27999999997</v>
      </c>
      <c r="I14" s="7">
        <f>12*6476.66</f>
        <v>77719.92</v>
      </c>
      <c r="J14" s="8">
        <f>SUM(H14:I14)</f>
        <v>325315.19999999995</v>
      </c>
      <c r="K14" s="5">
        <v>169589</v>
      </c>
      <c r="L14" s="5">
        <v>418128</v>
      </c>
      <c r="M14" s="5">
        <v>157724</v>
      </c>
      <c r="N14" s="5">
        <f t="shared" si="0"/>
        <v>745441</v>
      </c>
      <c r="O14" s="9">
        <f>J14+N14</f>
        <v>1070756.2</v>
      </c>
      <c r="Q14" s="33"/>
    </row>
    <row r="15" spans="1:17" ht="12.75">
      <c r="A15" s="5">
        <v>8</v>
      </c>
      <c r="B15" s="80" t="s">
        <v>32</v>
      </c>
      <c r="C15" s="80"/>
      <c r="D15" s="5">
        <v>9</v>
      </c>
      <c r="E15" s="5">
        <v>213</v>
      </c>
      <c r="F15" s="5">
        <v>6</v>
      </c>
      <c r="G15" s="5">
        <v>6</v>
      </c>
      <c r="H15" s="7">
        <f>12*137777.71</f>
        <v>1653332.52</v>
      </c>
      <c r="I15" s="7">
        <f>12*43248.11</f>
        <v>518977.32</v>
      </c>
      <c r="J15" s="8">
        <f aca="true" t="shared" si="1" ref="J15:J20">H15+I15</f>
        <v>2172309.84</v>
      </c>
      <c r="K15" s="5">
        <v>941240</v>
      </c>
      <c r="L15" s="5">
        <v>2701011</v>
      </c>
      <c r="M15" s="5">
        <v>1189552</v>
      </c>
      <c r="N15" s="5">
        <f t="shared" si="0"/>
        <v>4831803</v>
      </c>
      <c r="O15" s="9">
        <f>N15+J15</f>
        <v>7004112.84</v>
      </c>
      <c r="Q15" s="33"/>
    </row>
    <row r="16" spans="1:17" ht="12.75">
      <c r="A16" s="5">
        <v>9</v>
      </c>
      <c r="B16" s="80" t="s">
        <v>33</v>
      </c>
      <c r="C16" s="80"/>
      <c r="D16" s="5">
        <v>9</v>
      </c>
      <c r="E16" s="5">
        <v>35</v>
      </c>
      <c r="F16" s="5">
        <v>1</v>
      </c>
      <c r="G16" s="5">
        <v>1</v>
      </c>
      <c r="H16" s="7">
        <f>12*21607.02</f>
        <v>259284.24</v>
      </c>
      <c r="I16" s="7">
        <f>12*6782.43</f>
        <v>81389.16</v>
      </c>
      <c r="J16" s="8">
        <f t="shared" si="1"/>
        <v>340673.4</v>
      </c>
      <c r="K16" s="5">
        <v>122065</v>
      </c>
      <c r="L16" s="5">
        <v>392900</v>
      </c>
      <c r="M16" s="5">
        <v>165626</v>
      </c>
      <c r="N16" s="5">
        <f t="shared" si="0"/>
        <v>680591</v>
      </c>
      <c r="O16" s="9">
        <f aca="true" t="shared" si="2" ref="O16:O22">J16+N16</f>
        <v>1021264.4</v>
      </c>
      <c r="Q16" s="33"/>
    </row>
    <row r="17" spans="1:17" ht="12.75">
      <c r="A17" s="5">
        <v>10</v>
      </c>
      <c r="B17" s="80" t="s">
        <v>34</v>
      </c>
      <c r="C17" s="80"/>
      <c r="D17" s="5">
        <v>9</v>
      </c>
      <c r="E17" s="5">
        <v>177</v>
      </c>
      <c r="F17" s="5">
        <v>5</v>
      </c>
      <c r="G17" s="5">
        <v>5</v>
      </c>
      <c r="H17" s="7">
        <f>12*115231.51</f>
        <v>1382778.1199999999</v>
      </c>
      <c r="I17" s="7">
        <f>12*36171.08</f>
        <v>434052.96</v>
      </c>
      <c r="J17" s="8">
        <f t="shared" si="1"/>
        <v>1816831.0799999998</v>
      </c>
      <c r="K17" s="5">
        <v>719452</v>
      </c>
      <c r="L17" s="5">
        <v>2186145</v>
      </c>
      <c r="M17" s="5">
        <v>892808</v>
      </c>
      <c r="N17" s="5">
        <f t="shared" si="0"/>
        <v>3798405</v>
      </c>
      <c r="O17" s="9">
        <f t="shared" si="2"/>
        <v>5615236.08</v>
      </c>
      <c r="Q17" s="33"/>
    </row>
    <row r="18" spans="1:17" ht="12.75">
      <c r="A18" s="5">
        <v>11</v>
      </c>
      <c r="B18" s="80" t="s">
        <v>35</v>
      </c>
      <c r="C18" s="80"/>
      <c r="D18" s="5">
        <v>9</v>
      </c>
      <c r="E18" s="5">
        <v>213</v>
      </c>
      <c r="F18" s="5">
        <v>6</v>
      </c>
      <c r="G18" s="5">
        <v>6</v>
      </c>
      <c r="H18" s="7">
        <f>12*138632.66</f>
        <v>1663591.92</v>
      </c>
      <c r="I18" s="7">
        <f>12*43516.64</f>
        <v>522199.68</v>
      </c>
      <c r="J18" s="8">
        <f t="shared" si="1"/>
        <v>2185791.6</v>
      </c>
      <c r="K18" s="5">
        <v>899801</v>
      </c>
      <c r="L18" s="5">
        <v>2691373</v>
      </c>
      <c r="M18" s="5">
        <v>1131764</v>
      </c>
      <c r="N18" s="5">
        <f t="shared" si="0"/>
        <v>4722938</v>
      </c>
      <c r="O18" s="9">
        <f t="shared" si="2"/>
        <v>6908729.6</v>
      </c>
      <c r="Q18" s="33"/>
    </row>
    <row r="19" spans="1:17" ht="12.75">
      <c r="A19" s="5">
        <v>12</v>
      </c>
      <c r="B19" s="80" t="s">
        <v>36</v>
      </c>
      <c r="C19" s="80"/>
      <c r="D19" s="5">
        <v>9</v>
      </c>
      <c r="E19" s="5">
        <v>213</v>
      </c>
      <c r="F19" s="5">
        <v>6</v>
      </c>
      <c r="G19" s="5">
        <v>6</v>
      </c>
      <c r="H19" s="7">
        <f>12*135637.9</f>
        <v>1627654.7999999998</v>
      </c>
      <c r="I19" s="7">
        <f>12*42576.51</f>
        <v>510918.12</v>
      </c>
      <c r="J19" s="8">
        <f t="shared" si="1"/>
        <v>2138572.92</v>
      </c>
      <c r="K19" s="5">
        <v>828161</v>
      </c>
      <c r="L19" s="5">
        <v>2588825</v>
      </c>
      <c r="M19" s="5">
        <v>1021994</v>
      </c>
      <c r="N19" s="5">
        <f t="shared" si="0"/>
        <v>4438980</v>
      </c>
      <c r="O19" s="10">
        <f t="shared" si="2"/>
        <v>6577552.92</v>
      </c>
      <c r="Q19" s="33"/>
    </row>
    <row r="20" spans="1:17" ht="12.75">
      <c r="A20" s="5">
        <v>13</v>
      </c>
      <c r="B20" s="80" t="s">
        <v>37</v>
      </c>
      <c r="C20" s="80"/>
      <c r="D20" s="5">
        <v>9</v>
      </c>
      <c r="E20" s="5">
        <v>142</v>
      </c>
      <c r="F20" s="5">
        <v>4</v>
      </c>
      <c r="G20" s="5">
        <v>4</v>
      </c>
      <c r="H20" s="7">
        <f>12*90219.12</f>
        <v>1082629.44</v>
      </c>
      <c r="I20" s="7">
        <f>12*28319.71</f>
        <v>339836.52</v>
      </c>
      <c r="J20" s="8">
        <f t="shared" si="1"/>
        <v>1422465.96</v>
      </c>
      <c r="K20" s="5">
        <v>724334</v>
      </c>
      <c r="L20" s="5">
        <v>1879062</v>
      </c>
      <c r="M20" s="5">
        <v>894312</v>
      </c>
      <c r="N20" s="5">
        <f t="shared" si="0"/>
        <v>3497708</v>
      </c>
      <c r="O20" s="10">
        <f t="shared" si="2"/>
        <v>4920173.96</v>
      </c>
      <c r="Q20" s="33"/>
    </row>
    <row r="21" spans="1:17" ht="12.75">
      <c r="A21" s="10"/>
      <c r="B21" s="81" t="s">
        <v>26</v>
      </c>
      <c r="C21" s="82"/>
      <c r="D21" s="10">
        <f aca="true" t="shared" si="3" ref="D21:J21">SUM(D12:D20)</f>
        <v>82</v>
      </c>
      <c r="E21" s="10">
        <f t="shared" si="3"/>
        <v>1247</v>
      </c>
      <c r="F21" s="10">
        <f t="shared" si="3"/>
        <v>35</v>
      </c>
      <c r="G21" s="10">
        <f t="shared" si="3"/>
        <v>35</v>
      </c>
      <c r="H21" s="9">
        <f t="shared" si="3"/>
        <v>9631840.92</v>
      </c>
      <c r="I21" s="9">
        <f t="shared" si="3"/>
        <v>3023422.8000000003</v>
      </c>
      <c r="J21" s="12">
        <f t="shared" si="3"/>
        <v>12655263.719999999</v>
      </c>
      <c r="K21" s="10">
        <f>K12+K13+K15+K14+K16+K17+K18+K19+K20</f>
        <v>5268006</v>
      </c>
      <c r="L21" s="10">
        <f>L12+L13+L14+L15+L16+L17+L18+L19+L20</f>
        <v>15623776</v>
      </c>
      <c r="M21" s="10">
        <f>M12+M13+M14+M15+M16+M17+M19+M18+M20</f>
        <v>6620986</v>
      </c>
      <c r="N21" s="10">
        <f>N12+N13+N14+N15+N16+N17+N18+N19+N20</f>
        <v>27512768</v>
      </c>
      <c r="O21" s="10">
        <f t="shared" si="2"/>
        <v>40168031.72</v>
      </c>
      <c r="Q21" s="34"/>
    </row>
    <row r="22" spans="1:17" ht="12.75">
      <c r="A22" s="10"/>
      <c r="B22" s="79" t="s">
        <v>43</v>
      </c>
      <c r="C22" s="79"/>
      <c r="D22" s="10">
        <f aca="true" t="shared" si="4" ref="D22:J22">D10+D21</f>
        <v>102</v>
      </c>
      <c r="E22" s="10">
        <f t="shared" si="4"/>
        <v>1583</v>
      </c>
      <c r="F22" s="10">
        <f t="shared" si="4"/>
        <v>35</v>
      </c>
      <c r="G22" s="10">
        <f t="shared" si="4"/>
        <v>56</v>
      </c>
      <c r="H22" s="9">
        <f t="shared" si="4"/>
        <v>11233997.64</v>
      </c>
      <c r="I22" s="10">
        <f t="shared" si="4"/>
        <v>3539839.2</v>
      </c>
      <c r="J22" s="9">
        <f t="shared" si="4"/>
        <v>14773836.84</v>
      </c>
      <c r="K22" s="9">
        <f>K10+K21</f>
        <v>6629664</v>
      </c>
      <c r="L22" s="10">
        <f>L10+L21</f>
        <v>19387493</v>
      </c>
      <c r="M22" s="10">
        <f>M10+M21</f>
        <v>8142304</v>
      </c>
      <c r="N22" s="9">
        <f>N10+N21</f>
        <v>34159461</v>
      </c>
      <c r="O22" s="10">
        <f t="shared" si="2"/>
        <v>48933297.84</v>
      </c>
      <c r="Q22" s="34"/>
    </row>
    <row r="23" spans="1:17" ht="12.75">
      <c r="A23" s="13"/>
      <c r="B23" s="14"/>
      <c r="C23" s="14"/>
      <c r="D23" s="13"/>
      <c r="E23" s="15"/>
      <c r="F23" s="15"/>
      <c r="G23" s="15"/>
      <c r="H23" s="15"/>
      <c r="I23" s="16"/>
      <c r="J23" s="16"/>
      <c r="K23" s="16"/>
      <c r="L23" s="16"/>
      <c r="M23" s="16"/>
      <c r="N23" s="16"/>
      <c r="O23" s="17"/>
      <c r="Q23" s="16"/>
    </row>
    <row r="24" spans="1:17" ht="12.75">
      <c r="A24" s="13"/>
      <c r="B24" s="14"/>
      <c r="C24" s="14"/>
      <c r="D24" s="13"/>
      <c r="E24" s="15"/>
      <c r="F24" s="15"/>
      <c r="G24" s="15"/>
      <c r="H24" s="16"/>
      <c r="I24" s="16"/>
      <c r="J24" s="16"/>
      <c r="K24" s="16"/>
      <c r="L24" s="16"/>
      <c r="M24" s="16"/>
      <c r="N24" s="16"/>
      <c r="O24" s="17"/>
      <c r="Q24" s="16"/>
    </row>
    <row r="25" spans="1:17" ht="12.75">
      <c r="A25" s="1"/>
      <c r="L25" s="3"/>
      <c r="M25" s="1"/>
      <c r="N25" s="1"/>
      <c r="O25" s="1"/>
      <c r="Q25" s="23"/>
    </row>
    <row r="26" spans="1:17" ht="12.75">
      <c r="A26" s="116" t="s">
        <v>44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Q26" s="23"/>
    </row>
  </sheetData>
  <sheetProtection/>
  <mergeCells count="33">
    <mergeCell ref="C1:N1"/>
    <mergeCell ref="F3:F4"/>
    <mergeCell ref="G3:G4"/>
    <mergeCell ref="K3:K4"/>
    <mergeCell ref="D3:D4"/>
    <mergeCell ref="E3:E4"/>
    <mergeCell ref="L3:L4"/>
    <mergeCell ref="M3:M4"/>
    <mergeCell ref="N3:N4"/>
    <mergeCell ref="A26:O26"/>
    <mergeCell ref="B14:C14"/>
    <mergeCell ref="B15:C15"/>
    <mergeCell ref="B16:C16"/>
    <mergeCell ref="B17:C17"/>
    <mergeCell ref="B22:C22"/>
    <mergeCell ref="B18:C18"/>
    <mergeCell ref="B21:C21"/>
    <mergeCell ref="A3:A4"/>
    <mergeCell ref="B19:C19"/>
    <mergeCell ref="B20:C20"/>
    <mergeCell ref="B12:C12"/>
    <mergeCell ref="B13:C13"/>
    <mergeCell ref="B3:C4"/>
    <mergeCell ref="O3:O4"/>
    <mergeCell ref="A5:O5"/>
    <mergeCell ref="A11:O11"/>
    <mergeCell ref="B8:C8"/>
    <mergeCell ref="B9:C9"/>
    <mergeCell ref="B10:C10"/>
    <mergeCell ref="B6:C6"/>
    <mergeCell ref="H3:I3"/>
    <mergeCell ref="J3:J4"/>
    <mergeCell ref="B7:C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M27" sqref="M27"/>
    </sheetView>
  </sheetViews>
  <sheetFormatPr defaultColWidth="9.00390625" defaultRowHeight="12.75"/>
  <cols>
    <col min="1" max="1" width="3.375" style="0" customWidth="1"/>
    <col min="3" max="3" width="2.625" style="0" customWidth="1"/>
    <col min="4" max="4" width="4.125" style="0" customWidth="1"/>
    <col min="5" max="5" width="5.375" style="0" customWidth="1"/>
    <col min="6" max="6" width="4.125" style="0" customWidth="1"/>
    <col min="7" max="7" width="4.25390625" style="0" customWidth="1"/>
    <col min="8" max="8" width="8.125" style="0" customWidth="1"/>
    <col min="9" max="10" width="7.75390625" style="0" customWidth="1"/>
    <col min="12" max="12" width="11.25390625" style="0" customWidth="1"/>
    <col min="13" max="13" width="10.125" style="0" customWidth="1"/>
    <col min="14" max="14" width="11.125" style="0" customWidth="1"/>
  </cols>
  <sheetData>
    <row r="1" spans="1:14" ht="12.75">
      <c r="A1" s="1"/>
      <c r="C1" s="92" t="s">
        <v>66</v>
      </c>
      <c r="D1" s="92"/>
      <c r="E1" s="92"/>
      <c r="F1" s="92"/>
      <c r="G1" s="92"/>
      <c r="H1" s="92"/>
      <c r="I1" s="92"/>
      <c r="J1" s="93"/>
      <c r="K1" s="93"/>
      <c r="L1" s="93"/>
      <c r="M1" s="93"/>
      <c r="N1" s="1"/>
    </row>
    <row r="2" spans="1:14" ht="12.75">
      <c r="A2" s="1"/>
      <c r="C2" s="1"/>
      <c r="D2" s="1"/>
      <c r="E2" s="1"/>
      <c r="F2" s="1"/>
      <c r="G2" s="1"/>
      <c r="H2" s="1"/>
      <c r="I2" s="1"/>
      <c r="J2" s="1"/>
      <c r="K2" s="3"/>
      <c r="L2" s="1"/>
      <c r="M2" s="1"/>
      <c r="N2" s="1"/>
    </row>
    <row r="3" spans="1:14" ht="12.75" customHeight="1">
      <c r="A3" s="94" t="s">
        <v>1</v>
      </c>
      <c r="B3" s="95" t="s">
        <v>2</v>
      </c>
      <c r="C3" s="95"/>
      <c r="D3" s="96" t="s">
        <v>3</v>
      </c>
      <c r="E3" s="97" t="s">
        <v>4</v>
      </c>
      <c r="F3" s="97" t="s">
        <v>5</v>
      </c>
      <c r="G3" s="97" t="s">
        <v>6</v>
      </c>
      <c r="H3" s="97" t="s">
        <v>7</v>
      </c>
      <c r="I3" s="97" t="s">
        <v>8</v>
      </c>
      <c r="J3" s="97" t="s">
        <v>9</v>
      </c>
      <c r="K3" s="86" t="s">
        <v>10</v>
      </c>
      <c r="L3" s="87" t="s">
        <v>11</v>
      </c>
      <c r="M3" s="88"/>
      <c r="N3" s="89" t="s">
        <v>12</v>
      </c>
    </row>
    <row r="4" spans="1:14" ht="65.25" customHeight="1">
      <c r="A4" s="94"/>
      <c r="B4" s="95"/>
      <c r="C4" s="95"/>
      <c r="D4" s="96"/>
      <c r="E4" s="97"/>
      <c r="F4" s="97"/>
      <c r="G4" s="97"/>
      <c r="H4" s="97"/>
      <c r="I4" s="97"/>
      <c r="J4" s="97"/>
      <c r="K4" s="86"/>
      <c r="L4" s="4" t="s">
        <v>16</v>
      </c>
      <c r="M4" s="4" t="s">
        <v>17</v>
      </c>
      <c r="N4" s="90"/>
    </row>
    <row r="5" spans="1:14" ht="12.75">
      <c r="A5" s="24" t="s">
        <v>18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2.75">
      <c r="A6" s="5">
        <v>1</v>
      </c>
      <c r="B6" s="80" t="s">
        <v>19</v>
      </c>
      <c r="C6" s="80"/>
      <c r="D6" s="5">
        <v>5</v>
      </c>
      <c r="E6" s="5">
        <v>77</v>
      </c>
      <c r="F6" s="5"/>
      <c r="G6" s="5">
        <v>5</v>
      </c>
      <c r="H6" s="5">
        <v>445.8</v>
      </c>
      <c r="I6" s="5">
        <v>964.3</v>
      </c>
      <c r="J6" s="5">
        <v>4343</v>
      </c>
      <c r="K6" s="6">
        <v>3540.8</v>
      </c>
      <c r="L6" s="7">
        <v>30824.88</v>
      </c>
      <c r="M6" s="7">
        <v>9935.69</v>
      </c>
      <c r="N6" s="8">
        <f>L6+M6</f>
        <v>40760.57</v>
      </c>
    </row>
    <row r="7" spans="1:14" ht="12.75">
      <c r="A7" s="5">
        <v>2</v>
      </c>
      <c r="B7" s="80" t="s">
        <v>20</v>
      </c>
      <c r="C7" s="80"/>
      <c r="D7" s="5">
        <v>5</v>
      </c>
      <c r="E7" s="5">
        <v>50</v>
      </c>
      <c r="F7" s="5"/>
      <c r="G7" s="5">
        <v>3</v>
      </c>
      <c r="H7" s="5">
        <v>305.7</v>
      </c>
      <c r="I7" s="5">
        <v>620.2</v>
      </c>
      <c r="J7" s="5">
        <v>3263</v>
      </c>
      <c r="K7" s="6">
        <v>2291.9</v>
      </c>
      <c r="L7" s="7">
        <v>20123.78</v>
      </c>
      <c r="M7" s="7">
        <v>6486.43</v>
      </c>
      <c r="N7" s="8">
        <f>L7+M7</f>
        <v>26610.21</v>
      </c>
    </row>
    <row r="8" spans="1:14" ht="12.75">
      <c r="A8" s="5">
        <v>3</v>
      </c>
      <c r="B8" s="80" t="s">
        <v>21</v>
      </c>
      <c r="C8" s="80"/>
      <c r="D8" s="5">
        <v>5</v>
      </c>
      <c r="E8" s="5">
        <v>100</v>
      </c>
      <c r="F8" s="5"/>
      <c r="G8" s="5">
        <v>6</v>
      </c>
      <c r="H8" s="5">
        <v>620</v>
      </c>
      <c r="I8" s="5">
        <v>1231.7</v>
      </c>
      <c r="J8" s="5">
        <v>5382</v>
      </c>
      <c r="K8" s="6">
        <v>4552.2</v>
      </c>
      <c r="L8" s="7">
        <v>40057.82</v>
      </c>
      <c r="M8" s="7">
        <v>12911.62</v>
      </c>
      <c r="N8" s="8">
        <f>L8+M8</f>
        <v>52969.44</v>
      </c>
    </row>
    <row r="9" spans="1:14" ht="12.75">
      <c r="A9" s="5">
        <v>4</v>
      </c>
      <c r="B9" s="80" t="s">
        <v>22</v>
      </c>
      <c r="C9" s="80"/>
      <c r="D9" s="5">
        <v>5</v>
      </c>
      <c r="E9" s="5">
        <v>109</v>
      </c>
      <c r="F9" s="5"/>
      <c r="G9" s="5">
        <v>7</v>
      </c>
      <c r="H9" s="5">
        <v>679.8</v>
      </c>
      <c r="I9" s="5">
        <v>1296.8</v>
      </c>
      <c r="J9" s="5">
        <v>4094</v>
      </c>
      <c r="K9" s="6">
        <v>4821.2</v>
      </c>
      <c r="L9" s="7">
        <v>42506.58</v>
      </c>
      <c r="M9" s="7">
        <v>13700.96</v>
      </c>
      <c r="N9" s="8">
        <f>L9+M9</f>
        <v>56207.54</v>
      </c>
    </row>
    <row r="10" spans="1:14" ht="12.75">
      <c r="A10" s="10"/>
      <c r="B10" s="81" t="s">
        <v>26</v>
      </c>
      <c r="C10" s="82"/>
      <c r="D10" s="10">
        <f>SUM(D6:D9)</f>
        <v>20</v>
      </c>
      <c r="E10" s="10">
        <f>SUM(E6:E9)</f>
        <v>336</v>
      </c>
      <c r="F10" s="10"/>
      <c r="G10" s="10">
        <f aca="true" t="shared" si="0" ref="G10:N10">SUM(G6:G9)</f>
        <v>21</v>
      </c>
      <c r="H10" s="10">
        <f t="shared" si="0"/>
        <v>2051.3</v>
      </c>
      <c r="I10" s="10">
        <f t="shared" si="0"/>
        <v>4113</v>
      </c>
      <c r="J10" s="10">
        <f t="shared" si="0"/>
        <v>17082</v>
      </c>
      <c r="K10" s="11">
        <f t="shared" si="0"/>
        <v>15206.100000000002</v>
      </c>
      <c r="L10" s="9">
        <f t="shared" si="0"/>
        <v>133513.06</v>
      </c>
      <c r="M10" s="9">
        <f t="shared" si="0"/>
        <v>43034.700000000004</v>
      </c>
      <c r="N10" s="12">
        <f t="shared" si="0"/>
        <v>176547.76</v>
      </c>
    </row>
    <row r="11" spans="1:14" ht="12.75">
      <c r="A11" s="24" t="s">
        <v>27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2.75">
      <c r="A12" s="5">
        <v>5</v>
      </c>
      <c r="B12" s="80" t="s">
        <v>29</v>
      </c>
      <c r="C12" s="80"/>
      <c r="D12" s="5">
        <v>10</v>
      </c>
      <c r="E12" s="5">
        <v>78</v>
      </c>
      <c r="F12" s="5">
        <v>2</v>
      </c>
      <c r="G12" s="5">
        <v>2</v>
      </c>
      <c r="H12" s="5">
        <v>623.5</v>
      </c>
      <c r="I12" s="5">
        <v>600.5</v>
      </c>
      <c r="J12" s="5">
        <v>1933</v>
      </c>
      <c r="K12" s="6">
        <v>4147.2</v>
      </c>
      <c r="L12" s="7">
        <v>51980.51</v>
      </c>
      <c r="M12" s="7">
        <v>16316.62</v>
      </c>
      <c r="N12" s="8">
        <f>L12+M12</f>
        <v>68297.13</v>
      </c>
    </row>
    <row r="13" spans="1:14" ht="12.75">
      <c r="A13" s="5">
        <v>6</v>
      </c>
      <c r="B13" s="80" t="s">
        <v>30</v>
      </c>
      <c r="C13" s="80"/>
      <c r="D13" s="5">
        <v>9</v>
      </c>
      <c r="E13" s="5">
        <v>142</v>
      </c>
      <c r="F13" s="5">
        <v>4</v>
      </c>
      <c r="G13" s="5">
        <v>4</v>
      </c>
      <c r="H13" s="5">
        <v>1082.2</v>
      </c>
      <c r="I13" s="5">
        <v>1170.7</v>
      </c>
      <c r="J13" s="5">
        <v>5957</v>
      </c>
      <c r="K13" s="6">
        <v>7266.7</v>
      </c>
      <c r="L13" s="7">
        <v>90934.04</v>
      </c>
      <c r="M13" s="7">
        <v>28544.14</v>
      </c>
      <c r="N13" s="8">
        <f>L13+M13</f>
        <v>119478.18</v>
      </c>
    </row>
    <row r="14" spans="1:14" ht="12.75">
      <c r="A14" s="5">
        <v>7</v>
      </c>
      <c r="B14" s="80" t="s">
        <v>31</v>
      </c>
      <c r="C14" s="80"/>
      <c r="D14" s="5">
        <v>9</v>
      </c>
      <c r="E14" s="5">
        <v>34</v>
      </c>
      <c r="F14" s="5">
        <v>1</v>
      </c>
      <c r="G14" s="5">
        <v>1</v>
      </c>
      <c r="H14" s="5">
        <v>670.3</v>
      </c>
      <c r="I14" s="5">
        <v>280.2</v>
      </c>
      <c r="J14" s="5">
        <v>3515</v>
      </c>
      <c r="K14" s="6">
        <v>1640.1</v>
      </c>
      <c r="L14" s="7">
        <v>20632.94</v>
      </c>
      <c r="M14" s="7">
        <v>6476.66</v>
      </c>
      <c r="N14" s="8">
        <f>SUM(L14:M14)</f>
        <v>27109.6</v>
      </c>
    </row>
    <row r="15" spans="1:14" ht="12.75">
      <c r="A15" s="5">
        <v>8</v>
      </c>
      <c r="B15" s="80" t="s">
        <v>32</v>
      </c>
      <c r="C15" s="80"/>
      <c r="D15" s="5">
        <v>9</v>
      </c>
      <c r="E15" s="5">
        <v>213</v>
      </c>
      <c r="F15" s="5">
        <v>6</v>
      </c>
      <c r="G15" s="5">
        <v>6</v>
      </c>
      <c r="H15" s="5">
        <v>1637.3</v>
      </c>
      <c r="I15" s="5">
        <v>1762.4</v>
      </c>
      <c r="J15" s="5">
        <v>7777</v>
      </c>
      <c r="K15" s="6">
        <v>10994.5</v>
      </c>
      <c r="L15" s="7">
        <v>137777.71</v>
      </c>
      <c r="M15" s="7">
        <v>43248.11</v>
      </c>
      <c r="N15" s="8">
        <f aca="true" t="shared" si="1" ref="N15:N20">L15+M15</f>
        <v>181025.82</v>
      </c>
    </row>
    <row r="16" spans="1:14" ht="12.75">
      <c r="A16" s="5">
        <v>9</v>
      </c>
      <c r="B16" s="80" t="s">
        <v>33</v>
      </c>
      <c r="C16" s="80"/>
      <c r="D16" s="5">
        <v>9</v>
      </c>
      <c r="E16" s="5">
        <v>35</v>
      </c>
      <c r="F16" s="5">
        <v>1</v>
      </c>
      <c r="G16" s="5">
        <v>1</v>
      </c>
      <c r="H16" s="5">
        <v>282.4</v>
      </c>
      <c r="I16" s="5">
        <v>281.6</v>
      </c>
      <c r="J16" s="5">
        <v>2272</v>
      </c>
      <c r="K16" s="6">
        <v>1789.8</v>
      </c>
      <c r="L16" s="7">
        <v>21607.02</v>
      </c>
      <c r="M16" s="7">
        <v>6782.43</v>
      </c>
      <c r="N16" s="8">
        <f t="shared" si="1"/>
        <v>28389.45</v>
      </c>
    </row>
    <row r="17" spans="1:14" ht="12.75">
      <c r="A17" s="5">
        <v>10</v>
      </c>
      <c r="B17" s="80" t="s">
        <v>34</v>
      </c>
      <c r="C17" s="80"/>
      <c r="D17" s="5">
        <v>9</v>
      </c>
      <c r="E17" s="5">
        <v>177</v>
      </c>
      <c r="F17" s="5">
        <v>5</v>
      </c>
      <c r="G17" s="5">
        <v>5</v>
      </c>
      <c r="H17" s="5">
        <v>1360.2</v>
      </c>
      <c r="I17" s="5">
        <v>1464.1</v>
      </c>
      <c r="J17" s="5">
        <v>9415</v>
      </c>
      <c r="K17" s="6">
        <v>9174.2</v>
      </c>
      <c r="L17" s="7">
        <v>115231.51</v>
      </c>
      <c r="M17" s="7">
        <v>36171.08</v>
      </c>
      <c r="N17" s="8">
        <f t="shared" si="1"/>
        <v>151402.59</v>
      </c>
    </row>
    <row r="18" spans="1:14" ht="12.75">
      <c r="A18" s="5">
        <v>11</v>
      </c>
      <c r="B18" s="80" t="s">
        <v>35</v>
      </c>
      <c r="C18" s="80"/>
      <c r="D18" s="5">
        <v>9</v>
      </c>
      <c r="E18" s="5">
        <v>213</v>
      </c>
      <c r="F18" s="5">
        <v>6</v>
      </c>
      <c r="G18" s="5">
        <v>6</v>
      </c>
      <c r="H18" s="5">
        <v>1665.5</v>
      </c>
      <c r="I18" s="5">
        <v>1760.1</v>
      </c>
      <c r="J18" s="5">
        <v>9999</v>
      </c>
      <c r="K18" s="6">
        <v>11065</v>
      </c>
      <c r="L18" s="7">
        <v>138632.66</v>
      </c>
      <c r="M18" s="7">
        <v>43516.64</v>
      </c>
      <c r="N18" s="8">
        <f t="shared" si="1"/>
        <v>182149.3</v>
      </c>
    </row>
    <row r="19" spans="1:14" ht="12.75">
      <c r="A19" s="5">
        <v>12</v>
      </c>
      <c r="B19" s="80" t="s">
        <v>36</v>
      </c>
      <c r="C19" s="80"/>
      <c r="D19" s="5">
        <v>9</v>
      </c>
      <c r="E19" s="5">
        <v>213</v>
      </c>
      <c r="F19" s="5">
        <v>6</v>
      </c>
      <c r="G19" s="5">
        <v>6</v>
      </c>
      <c r="H19" s="5">
        <v>1684.1</v>
      </c>
      <c r="I19" s="5">
        <v>1750.2</v>
      </c>
      <c r="J19" s="5">
        <v>7454</v>
      </c>
      <c r="K19" s="6">
        <v>10840.2</v>
      </c>
      <c r="L19" s="7">
        <v>135637.9</v>
      </c>
      <c r="M19" s="7">
        <v>42576.51</v>
      </c>
      <c r="N19" s="8">
        <f t="shared" si="1"/>
        <v>178214.41</v>
      </c>
    </row>
    <row r="20" spans="1:14" ht="12.75">
      <c r="A20" s="5">
        <v>13</v>
      </c>
      <c r="B20" s="80" t="s">
        <v>37</v>
      </c>
      <c r="C20" s="80"/>
      <c r="D20" s="5">
        <v>9</v>
      </c>
      <c r="E20" s="5">
        <v>142</v>
      </c>
      <c r="F20" s="5">
        <v>4</v>
      </c>
      <c r="G20" s="5">
        <v>4</v>
      </c>
      <c r="H20" s="5">
        <v>946.4</v>
      </c>
      <c r="I20" s="5">
        <v>1159.4</v>
      </c>
      <c r="J20" s="5">
        <v>6191</v>
      </c>
      <c r="K20" s="6">
        <v>7173.2</v>
      </c>
      <c r="L20" s="7">
        <v>90219.12</v>
      </c>
      <c r="M20" s="7">
        <v>28319.71</v>
      </c>
      <c r="N20" s="8">
        <f t="shared" si="1"/>
        <v>118538.82999999999</v>
      </c>
    </row>
    <row r="21" spans="1:14" ht="12.75">
      <c r="A21" s="10"/>
      <c r="B21" s="81" t="s">
        <v>26</v>
      </c>
      <c r="C21" s="82"/>
      <c r="D21" s="10">
        <f aca="true" t="shared" si="2" ref="D21:N21">SUM(D12:D20)</f>
        <v>82</v>
      </c>
      <c r="E21" s="10">
        <f t="shared" si="2"/>
        <v>1247</v>
      </c>
      <c r="F21" s="10">
        <f t="shared" si="2"/>
        <v>35</v>
      </c>
      <c r="G21" s="10">
        <f t="shared" si="2"/>
        <v>35</v>
      </c>
      <c r="H21" s="10">
        <f t="shared" si="2"/>
        <v>9951.9</v>
      </c>
      <c r="I21" s="10">
        <f t="shared" si="2"/>
        <v>10229.2</v>
      </c>
      <c r="J21" s="10">
        <f t="shared" si="2"/>
        <v>54513</v>
      </c>
      <c r="K21" s="11">
        <f t="shared" si="2"/>
        <v>64090.899999999994</v>
      </c>
      <c r="L21" s="9">
        <f t="shared" si="2"/>
        <v>802653.41</v>
      </c>
      <c r="M21" s="9">
        <f t="shared" si="2"/>
        <v>251951.9</v>
      </c>
      <c r="N21" s="12">
        <f t="shared" si="2"/>
        <v>1054605.31</v>
      </c>
    </row>
    <row r="22" spans="1:14" ht="12.75">
      <c r="A22" s="10"/>
      <c r="B22" s="79" t="s">
        <v>43</v>
      </c>
      <c r="C22" s="79"/>
      <c r="D22" s="10">
        <f aca="true" t="shared" si="3" ref="D22:N22">D10+D21</f>
        <v>102</v>
      </c>
      <c r="E22" s="10">
        <f t="shared" si="3"/>
        <v>1583</v>
      </c>
      <c r="F22" s="10">
        <f t="shared" si="3"/>
        <v>35</v>
      </c>
      <c r="G22" s="10">
        <f t="shared" si="3"/>
        <v>56</v>
      </c>
      <c r="H22" s="10">
        <f t="shared" si="3"/>
        <v>12003.2</v>
      </c>
      <c r="I22" s="10">
        <f t="shared" si="3"/>
        <v>14342.2</v>
      </c>
      <c r="J22" s="10">
        <f t="shared" si="3"/>
        <v>71595</v>
      </c>
      <c r="K22" s="10">
        <f t="shared" si="3"/>
        <v>79297</v>
      </c>
      <c r="L22" s="9">
        <f t="shared" si="3"/>
        <v>936166.47</v>
      </c>
      <c r="M22" s="10">
        <f t="shared" si="3"/>
        <v>294986.6</v>
      </c>
      <c r="N22" s="9">
        <f t="shared" si="3"/>
        <v>1231153.07</v>
      </c>
    </row>
    <row r="23" spans="1:14" ht="12.75">
      <c r="A23" s="13"/>
      <c r="B23" s="14"/>
      <c r="C23" s="14"/>
      <c r="D23" s="13"/>
      <c r="E23" s="15"/>
      <c r="F23" s="15"/>
      <c r="G23" s="15"/>
      <c r="H23" s="16"/>
      <c r="I23" s="16"/>
      <c r="J23" s="16"/>
      <c r="K23" s="16"/>
      <c r="L23" s="16"/>
      <c r="M23" s="16"/>
      <c r="N23" s="17"/>
    </row>
    <row r="24" spans="1:14" ht="12.75">
      <c r="A24" s="13"/>
      <c r="B24" s="14"/>
      <c r="C24" s="14"/>
      <c r="D24" s="13"/>
      <c r="E24" s="15"/>
      <c r="F24" s="15"/>
      <c r="G24" s="15"/>
      <c r="H24" s="16"/>
      <c r="I24" s="16"/>
      <c r="J24" s="16"/>
      <c r="K24" s="16"/>
      <c r="L24" s="16"/>
      <c r="M24" s="16"/>
      <c r="N24" s="17"/>
    </row>
    <row r="25" spans="1:14" ht="12.75">
      <c r="A25" s="1"/>
      <c r="K25" s="3"/>
      <c r="L25" s="1"/>
      <c r="M25" s="1"/>
      <c r="N25" s="1"/>
    </row>
    <row r="26" spans="1:14" ht="12.75">
      <c r="A26" s="1"/>
      <c r="B26" t="s">
        <v>44</v>
      </c>
      <c r="H26" s="3"/>
      <c r="K26" s="3"/>
      <c r="L26" s="1"/>
      <c r="M26" s="1"/>
      <c r="N26" s="1"/>
    </row>
  </sheetData>
  <sheetProtection/>
  <mergeCells count="29">
    <mergeCell ref="A3:A4"/>
    <mergeCell ref="B3:C4"/>
    <mergeCell ref="D3:D4"/>
    <mergeCell ref="E3:E4"/>
    <mergeCell ref="N3:N4"/>
    <mergeCell ref="C1:M1"/>
    <mergeCell ref="F3:F4"/>
    <mergeCell ref="G3:G4"/>
    <mergeCell ref="H3:H4"/>
    <mergeCell ref="I3:I4"/>
    <mergeCell ref="J3:J4"/>
    <mergeCell ref="K3:K4"/>
    <mergeCell ref="L3:M3"/>
    <mergeCell ref="B10:C10"/>
    <mergeCell ref="B6:C6"/>
    <mergeCell ref="B7:C7"/>
    <mergeCell ref="B8:C8"/>
    <mergeCell ref="B9:C9"/>
    <mergeCell ref="B16:C16"/>
    <mergeCell ref="B17:C17"/>
    <mergeCell ref="B12:C12"/>
    <mergeCell ref="B13:C13"/>
    <mergeCell ref="B14:C14"/>
    <mergeCell ref="B15:C15"/>
    <mergeCell ref="B22:C22"/>
    <mergeCell ref="B18:C18"/>
    <mergeCell ref="B19:C19"/>
    <mergeCell ref="B20:C20"/>
    <mergeCell ref="B21:C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C1">
      <selection activeCell="T27" sqref="T27"/>
    </sheetView>
  </sheetViews>
  <sheetFormatPr defaultColWidth="9.00390625" defaultRowHeight="12.75"/>
  <cols>
    <col min="1" max="1" width="2.875" style="0" bestFit="1" customWidth="1"/>
    <col min="3" max="3" width="9.75390625" style="0" customWidth="1"/>
    <col min="4" max="4" width="5.00390625" style="0" customWidth="1"/>
    <col min="5" max="5" width="5.25390625" style="0" customWidth="1"/>
    <col min="6" max="6" width="5.125" style="0" customWidth="1"/>
    <col min="7" max="7" width="4.875" style="0" customWidth="1"/>
    <col min="8" max="8" width="7.00390625" style="0" customWidth="1"/>
    <col min="9" max="9" width="0.37109375" style="0" hidden="1" customWidth="1"/>
    <col min="10" max="10" width="0.12890625" style="0" hidden="1" customWidth="1"/>
    <col min="11" max="11" width="0.2421875" style="0" hidden="1" customWidth="1"/>
    <col min="12" max="12" width="0.12890625" style="0" hidden="1" customWidth="1"/>
    <col min="13" max="13" width="10.125" style="0" hidden="1" customWidth="1"/>
    <col min="14" max="14" width="10.75390625" style="0" hidden="1" customWidth="1"/>
    <col min="15" max="17" width="12.00390625" style="0" bestFit="1" customWidth="1"/>
    <col min="18" max="18" width="11.625" style="0" bestFit="1" customWidth="1"/>
    <col min="19" max="19" width="10.25390625" style="0" customWidth="1"/>
    <col min="21" max="21" width="12.25390625" style="0" customWidth="1"/>
    <col min="22" max="22" width="14.00390625" style="0" customWidth="1"/>
  </cols>
  <sheetData>
    <row r="1" spans="1:22" ht="12.75">
      <c r="A1" s="92" t="s">
        <v>62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11" ht="12.75">
      <c r="A2" s="1"/>
      <c r="C2" s="1"/>
      <c r="D2" s="1"/>
      <c r="E2" s="1"/>
      <c r="F2" s="1"/>
      <c r="G2" s="1"/>
      <c r="H2" s="1"/>
      <c r="I2" s="1"/>
      <c r="J2" s="1"/>
      <c r="K2" s="3"/>
    </row>
    <row r="3" spans="1:22" ht="12.75" customHeight="1">
      <c r="A3" s="94" t="s">
        <v>1</v>
      </c>
      <c r="B3" s="95" t="s">
        <v>2</v>
      </c>
      <c r="C3" s="95"/>
      <c r="D3" s="96" t="s">
        <v>3</v>
      </c>
      <c r="E3" s="97" t="s">
        <v>4</v>
      </c>
      <c r="F3" s="97" t="s">
        <v>5</v>
      </c>
      <c r="G3" s="97" t="s">
        <v>6</v>
      </c>
      <c r="H3" s="120" t="s">
        <v>7</v>
      </c>
      <c r="I3" s="120" t="s">
        <v>8</v>
      </c>
      <c r="J3" s="120" t="s">
        <v>9</v>
      </c>
      <c r="K3" s="123" t="s">
        <v>10</v>
      </c>
      <c r="L3" s="87" t="s">
        <v>63</v>
      </c>
      <c r="M3" s="88"/>
      <c r="N3" s="89" t="s">
        <v>12</v>
      </c>
      <c r="O3" s="87" t="s">
        <v>64</v>
      </c>
      <c r="P3" s="88"/>
      <c r="Q3" s="89" t="s">
        <v>12</v>
      </c>
      <c r="R3" s="117" t="s">
        <v>75</v>
      </c>
      <c r="S3" s="117" t="s">
        <v>70</v>
      </c>
      <c r="T3" s="117" t="s">
        <v>73</v>
      </c>
      <c r="U3" s="112" t="s">
        <v>71</v>
      </c>
      <c r="V3" s="112" t="s">
        <v>72</v>
      </c>
    </row>
    <row r="4" spans="1:22" ht="48" customHeight="1">
      <c r="A4" s="94"/>
      <c r="B4" s="95"/>
      <c r="C4" s="95"/>
      <c r="D4" s="96"/>
      <c r="E4" s="97"/>
      <c r="F4" s="97"/>
      <c r="G4" s="97"/>
      <c r="H4" s="121"/>
      <c r="I4" s="121"/>
      <c r="J4" s="121"/>
      <c r="K4" s="124"/>
      <c r="L4" s="4" t="s">
        <v>16</v>
      </c>
      <c r="M4" s="4" t="s">
        <v>17</v>
      </c>
      <c r="N4" s="122"/>
      <c r="O4" s="4" t="s">
        <v>16</v>
      </c>
      <c r="P4" s="4" t="s">
        <v>17</v>
      </c>
      <c r="Q4" s="90"/>
      <c r="R4" s="118"/>
      <c r="S4" s="119"/>
      <c r="T4" s="119"/>
      <c r="U4" s="113"/>
      <c r="V4" s="113"/>
    </row>
    <row r="5" spans="1:22" s="47" customFormat="1" ht="12">
      <c r="A5" s="39">
        <v>1</v>
      </c>
      <c r="B5" s="40" t="s">
        <v>55</v>
      </c>
      <c r="C5" s="41"/>
      <c r="D5" s="39"/>
      <c r="E5" s="42"/>
      <c r="F5" s="39"/>
      <c r="G5" s="42"/>
      <c r="H5" s="39"/>
      <c r="I5" s="42"/>
      <c r="J5" s="39"/>
      <c r="K5" s="42"/>
      <c r="L5" s="39"/>
      <c r="M5" s="42"/>
      <c r="N5" s="43"/>
      <c r="O5" s="44"/>
      <c r="P5" s="45"/>
      <c r="Q5" s="41"/>
      <c r="R5" s="45"/>
      <c r="S5" s="46"/>
      <c r="T5" s="45"/>
      <c r="U5" s="46"/>
      <c r="V5" s="45"/>
    </row>
    <row r="6" spans="1:22" s="47" customFormat="1" ht="12">
      <c r="A6" s="37"/>
      <c r="B6" s="46" t="s">
        <v>56</v>
      </c>
      <c r="C6" s="46"/>
      <c r="D6" s="37">
        <v>20</v>
      </c>
      <c r="E6" s="35">
        <v>336</v>
      </c>
      <c r="F6" s="37"/>
      <c r="G6" s="35">
        <v>21</v>
      </c>
      <c r="H6" s="37">
        <v>2051.3</v>
      </c>
      <c r="I6" s="35">
        <v>4113</v>
      </c>
      <c r="J6" s="37">
        <v>17082</v>
      </c>
      <c r="K6" s="35">
        <v>15206.1</v>
      </c>
      <c r="L6" s="37">
        <v>133513.06</v>
      </c>
      <c r="M6" s="35">
        <v>43034.7</v>
      </c>
      <c r="N6" s="48">
        <v>176547.76</v>
      </c>
      <c r="O6" s="49">
        <f aca="true" t="shared" si="0" ref="O6:P8">L6*12</f>
        <v>1602156.72</v>
      </c>
      <c r="P6" s="37">
        <f t="shared" si="0"/>
        <v>516416.39999999997</v>
      </c>
      <c r="Q6" s="35">
        <f>O6+P6</f>
        <v>2118573.12</v>
      </c>
      <c r="R6" s="36">
        <v>1361658</v>
      </c>
      <c r="S6" s="35">
        <v>3763717</v>
      </c>
      <c r="T6" s="37">
        <v>1521318</v>
      </c>
      <c r="U6" s="33">
        <v>6646693</v>
      </c>
      <c r="V6" s="38">
        <v>8765266.12</v>
      </c>
    </row>
    <row r="7" spans="1:22" s="47" customFormat="1" ht="12">
      <c r="A7" s="37"/>
      <c r="B7" s="46" t="s">
        <v>57</v>
      </c>
      <c r="C7" s="46"/>
      <c r="D7" s="37">
        <v>82</v>
      </c>
      <c r="E7" s="35">
        <v>1247</v>
      </c>
      <c r="F7" s="37">
        <v>35</v>
      </c>
      <c r="G7" s="35">
        <v>35</v>
      </c>
      <c r="H7" s="37">
        <v>9951.9</v>
      </c>
      <c r="I7" s="35">
        <v>10229.2</v>
      </c>
      <c r="J7" s="37">
        <v>54513</v>
      </c>
      <c r="K7" s="35">
        <v>64090.9</v>
      </c>
      <c r="L7" s="37">
        <v>802653.41</v>
      </c>
      <c r="M7" s="35">
        <v>251951.9</v>
      </c>
      <c r="N7" s="48">
        <v>1054605.31</v>
      </c>
      <c r="O7" s="49">
        <f t="shared" si="0"/>
        <v>9631840.92</v>
      </c>
      <c r="P7" s="37">
        <f t="shared" si="0"/>
        <v>3023422.8</v>
      </c>
      <c r="Q7" s="35">
        <f>O7+P7</f>
        <v>12655263.719999999</v>
      </c>
      <c r="R7" s="37">
        <v>5268006</v>
      </c>
      <c r="S7" s="35">
        <v>15623776</v>
      </c>
      <c r="T7" s="37">
        <v>6620986</v>
      </c>
      <c r="U7" s="35">
        <v>27512768</v>
      </c>
      <c r="V7" s="37">
        <v>40168031.72</v>
      </c>
    </row>
    <row r="8" spans="1:22" s="47" customFormat="1" ht="24" customHeight="1">
      <c r="A8" s="50"/>
      <c r="B8" s="51" t="s">
        <v>58</v>
      </c>
      <c r="C8" s="51"/>
      <c r="D8" s="50">
        <v>102</v>
      </c>
      <c r="E8" s="52">
        <v>1583</v>
      </c>
      <c r="F8" s="50">
        <v>35</v>
      </c>
      <c r="G8" s="52">
        <v>56</v>
      </c>
      <c r="H8" s="50">
        <v>12003.2</v>
      </c>
      <c r="I8" s="52">
        <v>14342.2</v>
      </c>
      <c r="J8" s="50">
        <v>71595</v>
      </c>
      <c r="K8" s="52">
        <v>79297</v>
      </c>
      <c r="L8" s="50">
        <v>936166.47</v>
      </c>
      <c r="M8" s="52">
        <v>294986.6</v>
      </c>
      <c r="N8" s="53">
        <v>1231153.07</v>
      </c>
      <c r="O8" s="49">
        <f t="shared" si="0"/>
        <v>11233997.64</v>
      </c>
      <c r="P8" s="37">
        <f t="shared" si="0"/>
        <v>3539839.1999999997</v>
      </c>
      <c r="Q8" s="35">
        <f>O8+P8</f>
        <v>14773836.84</v>
      </c>
      <c r="R8" s="8">
        <f>R6+R7</f>
        <v>6629664</v>
      </c>
      <c r="S8" s="35">
        <f>S6+S7</f>
        <v>19387493</v>
      </c>
      <c r="T8" s="50">
        <f>T6+T7</f>
        <v>8142304</v>
      </c>
      <c r="U8" s="33">
        <f>U6+U7</f>
        <v>34159461</v>
      </c>
      <c r="V8" s="8">
        <f>V6+V7</f>
        <v>48933297.839999996</v>
      </c>
    </row>
    <row r="9" spans="1:22" s="47" customFormat="1" ht="12">
      <c r="A9" s="39"/>
      <c r="B9" s="41"/>
      <c r="C9" s="41"/>
      <c r="D9" s="39"/>
      <c r="E9" s="42"/>
      <c r="F9" s="39"/>
      <c r="G9" s="42"/>
      <c r="H9" s="39"/>
      <c r="I9" s="42"/>
      <c r="J9" s="39"/>
      <c r="K9" s="42"/>
      <c r="L9" s="39"/>
      <c r="M9" s="42"/>
      <c r="N9" s="43"/>
      <c r="O9" s="54"/>
      <c r="P9" s="39"/>
      <c r="Q9" s="55"/>
      <c r="R9" s="54"/>
      <c r="S9" s="39"/>
      <c r="T9" s="42"/>
      <c r="U9" s="39"/>
      <c r="V9" s="55"/>
    </row>
    <row r="10" spans="1:22" s="47" customFormat="1" ht="12">
      <c r="A10" s="37">
        <v>2</v>
      </c>
      <c r="B10" s="56" t="s">
        <v>59</v>
      </c>
      <c r="C10" s="46"/>
      <c r="D10" s="37"/>
      <c r="E10" s="35"/>
      <c r="F10" s="37"/>
      <c r="G10" s="35"/>
      <c r="H10" s="37"/>
      <c r="I10" s="35"/>
      <c r="J10" s="37"/>
      <c r="K10" s="35"/>
      <c r="L10" s="37"/>
      <c r="M10" s="35"/>
      <c r="N10" s="48"/>
      <c r="O10" s="49"/>
      <c r="P10" s="37"/>
      <c r="Q10" s="57"/>
      <c r="R10" s="49"/>
      <c r="S10" s="37"/>
      <c r="T10" s="35"/>
      <c r="U10" s="37"/>
      <c r="V10" s="57"/>
    </row>
    <row r="11" spans="1:22" s="47" customFormat="1" ht="12">
      <c r="A11" s="37"/>
      <c r="B11" s="46" t="s">
        <v>56</v>
      </c>
      <c r="C11" s="46"/>
      <c r="D11" s="37">
        <v>5</v>
      </c>
      <c r="E11" s="35">
        <v>48</v>
      </c>
      <c r="F11" s="37"/>
      <c r="G11" s="35">
        <v>5</v>
      </c>
      <c r="H11" s="37">
        <v>338</v>
      </c>
      <c r="I11" s="35">
        <v>0</v>
      </c>
      <c r="J11" s="37">
        <v>0</v>
      </c>
      <c r="K11" s="35">
        <v>2711.1</v>
      </c>
      <c r="L11" s="37">
        <v>26141.59</v>
      </c>
      <c r="M11" s="35">
        <v>8426.07</v>
      </c>
      <c r="N11" s="48">
        <v>34567.66</v>
      </c>
      <c r="O11" s="49">
        <f>L11*12</f>
        <v>313699.08</v>
      </c>
      <c r="P11" s="37">
        <f>M11*12</f>
        <v>101112.84</v>
      </c>
      <c r="Q11" s="57">
        <f>O11+P11</f>
        <v>414811.92000000004</v>
      </c>
      <c r="R11" s="49">
        <v>231484</v>
      </c>
      <c r="S11" s="37">
        <v>669762</v>
      </c>
      <c r="T11" s="35">
        <v>295392</v>
      </c>
      <c r="U11" s="37">
        <v>1196638</v>
      </c>
      <c r="V11" s="57">
        <v>1611450</v>
      </c>
    </row>
    <row r="12" spans="1:22" s="47" customFormat="1" ht="12">
      <c r="A12" s="37"/>
      <c r="B12" s="46" t="s">
        <v>57</v>
      </c>
      <c r="C12" s="46"/>
      <c r="D12" s="37">
        <v>102</v>
      </c>
      <c r="E12" s="35">
        <v>1641</v>
      </c>
      <c r="F12" s="37">
        <v>45</v>
      </c>
      <c r="G12" s="35">
        <v>45</v>
      </c>
      <c r="H12" s="37">
        <v>13192.5</v>
      </c>
      <c r="I12" s="35">
        <v>13491.4</v>
      </c>
      <c r="J12" s="37">
        <v>66654</v>
      </c>
      <c r="K12" s="35">
        <v>87677.5</v>
      </c>
      <c r="L12" s="37">
        <v>1095582.45</v>
      </c>
      <c r="M12" s="35">
        <v>343901.96</v>
      </c>
      <c r="N12" s="48">
        <v>1439484.41</v>
      </c>
      <c r="O12" s="49">
        <f>L12*12</f>
        <v>13146989.399999999</v>
      </c>
      <c r="P12" s="37">
        <f>M12*12</f>
        <v>4126823.5200000005</v>
      </c>
      <c r="Q12" s="57">
        <f>O12+P12</f>
        <v>17273812.919999998</v>
      </c>
      <c r="R12" s="49">
        <v>7812301</v>
      </c>
      <c r="S12" s="37">
        <v>21392098</v>
      </c>
      <c r="T12" s="35">
        <v>9418248</v>
      </c>
      <c r="U12" s="37">
        <v>38622647</v>
      </c>
      <c r="V12" s="57">
        <v>55896460</v>
      </c>
    </row>
    <row r="13" spans="1:22" s="47" customFormat="1" ht="12">
      <c r="A13" s="37"/>
      <c r="B13" s="46"/>
      <c r="C13" s="46"/>
      <c r="D13" s="37"/>
      <c r="E13" s="35"/>
      <c r="F13" s="37"/>
      <c r="G13" s="35"/>
      <c r="H13" s="37"/>
      <c r="I13" s="35"/>
      <c r="J13" s="37"/>
      <c r="K13" s="35"/>
      <c r="L13" s="37"/>
      <c r="M13" s="35"/>
      <c r="N13" s="48"/>
      <c r="O13" s="49"/>
      <c r="P13" s="37"/>
      <c r="Q13" s="57"/>
      <c r="R13" s="49"/>
      <c r="S13" s="37"/>
      <c r="T13" s="35"/>
      <c r="U13" s="37"/>
      <c r="V13" s="57"/>
    </row>
    <row r="14" spans="1:22" s="47" customFormat="1" ht="12">
      <c r="A14" s="50"/>
      <c r="B14" s="51" t="s">
        <v>58</v>
      </c>
      <c r="C14" s="51"/>
      <c r="D14" s="50">
        <v>107</v>
      </c>
      <c r="E14" s="52">
        <v>1689</v>
      </c>
      <c r="F14" s="50">
        <v>45</v>
      </c>
      <c r="G14" s="52">
        <v>50</v>
      </c>
      <c r="H14" s="50">
        <v>13530.5</v>
      </c>
      <c r="I14" s="52">
        <v>13491.4</v>
      </c>
      <c r="J14" s="50">
        <v>66654</v>
      </c>
      <c r="K14" s="52">
        <v>90388.6</v>
      </c>
      <c r="L14" s="50">
        <v>1121724.04</v>
      </c>
      <c r="M14" s="52">
        <v>352328.03</v>
      </c>
      <c r="N14" s="53">
        <v>1474052.07</v>
      </c>
      <c r="O14" s="58">
        <f>L14*12</f>
        <v>13460688.48</v>
      </c>
      <c r="P14" s="50">
        <f>M14*12</f>
        <v>4227936.36</v>
      </c>
      <c r="Q14" s="59">
        <f>O14+P14</f>
        <v>17688624.84</v>
      </c>
      <c r="R14" s="58">
        <f>R11+R12</f>
        <v>8043785</v>
      </c>
      <c r="S14" s="50">
        <f>S11+S12</f>
        <v>22061860</v>
      </c>
      <c r="T14" s="52">
        <f>T11+T12</f>
        <v>9713640</v>
      </c>
      <c r="U14" s="50">
        <f>U11+U12</f>
        <v>39819285</v>
      </c>
      <c r="V14" s="59">
        <f>V11+V12</f>
        <v>57507910</v>
      </c>
    </row>
    <row r="15" spans="1:22" s="47" customFormat="1" ht="12">
      <c r="A15" s="39"/>
      <c r="B15" s="41"/>
      <c r="C15" s="41"/>
      <c r="D15" s="39"/>
      <c r="E15" s="42"/>
      <c r="F15" s="39"/>
      <c r="G15" s="42"/>
      <c r="H15" s="39"/>
      <c r="I15" s="42"/>
      <c r="J15" s="39"/>
      <c r="K15" s="42"/>
      <c r="L15" s="39"/>
      <c r="M15" s="42"/>
      <c r="N15" s="43"/>
      <c r="O15" s="60"/>
      <c r="P15" s="37"/>
      <c r="Q15" s="57"/>
      <c r="R15" s="49"/>
      <c r="S15" s="37"/>
      <c r="T15" s="35"/>
      <c r="U15" s="37"/>
      <c r="V15" s="57"/>
    </row>
    <row r="16" spans="1:22" s="47" customFormat="1" ht="12">
      <c r="A16" s="37">
        <v>3</v>
      </c>
      <c r="B16" s="56" t="s">
        <v>60</v>
      </c>
      <c r="C16" s="46"/>
      <c r="D16" s="37"/>
      <c r="E16" s="35"/>
      <c r="F16" s="37"/>
      <c r="G16" s="35"/>
      <c r="H16" s="37"/>
      <c r="I16" s="35"/>
      <c r="J16" s="37"/>
      <c r="K16" s="35"/>
      <c r="L16" s="37"/>
      <c r="M16" s="35"/>
      <c r="N16" s="48"/>
      <c r="O16" s="60"/>
      <c r="P16" s="37"/>
      <c r="Q16" s="57"/>
      <c r="R16" s="49"/>
      <c r="S16" s="37"/>
      <c r="T16" s="35"/>
      <c r="U16" s="37"/>
      <c r="V16" s="57"/>
    </row>
    <row r="17" spans="1:22" s="47" customFormat="1" ht="12">
      <c r="A17" s="37"/>
      <c r="B17" s="46" t="s">
        <v>56</v>
      </c>
      <c r="C17" s="46"/>
      <c r="D17" s="37">
        <v>20</v>
      </c>
      <c r="E17" s="35">
        <v>469</v>
      </c>
      <c r="F17" s="37"/>
      <c r="G17" s="35">
        <v>30</v>
      </c>
      <c r="H17" s="37">
        <v>2713.3</v>
      </c>
      <c r="I17" s="35">
        <v>5516.7</v>
      </c>
      <c r="J17" s="37">
        <v>21585</v>
      </c>
      <c r="K17" s="35">
        <v>20749.7</v>
      </c>
      <c r="L17" s="37">
        <v>182144.71</v>
      </c>
      <c r="M17" s="35">
        <v>58709.85</v>
      </c>
      <c r="N17" s="48">
        <v>240854.56</v>
      </c>
      <c r="O17" s="49">
        <f>L17*12</f>
        <v>2185736.52</v>
      </c>
      <c r="P17" s="37">
        <f>M17*12</f>
        <v>704518.2</v>
      </c>
      <c r="Q17" s="57">
        <f>O17+P17</f>
        <v>2890254.7199999997</v>
      </c>
      <c r="R17" s="49">
        <v>1857874</v>
      </c>
      <c r="S17" s="37">
        <v>5099709</v>
      </c>
      <c r="T17" s="35">
        <v>2082224</v>
      </c>
      <c r="U17" s="37">
        <v>9039807</v>
      </c>
      <c r="V17" s="57">
        <v>11930061.72</v>
      </c>
    </row>
    <row r="18" spans="1:22" s="47" customFormat="1" ht="12">
      <c r="A18" s="61"/>
      <c r="B18" s="46" t="s">
        <v>57</v>
      </c>
      <c r="C18" s="46"/>
      <c r="D18" s="37">
        <v>81</v>
      </c>
      <c r="E18" s="35">
        <v>1164</v>
      </c>
      <c r="F18" s="37">
        <v>33</v>
      </c>
      <c r="G18" s="35">
        <v>33</v>
      </c>
      <c r="H18" s="37">
        <v>9313.9</v>
      </c>
      <c r="I18" s="35">
        <v>9749.8</v>
      </c>
      <c r="J18" s="37">
        <v>46339</v>
      </c>
      <c r="K18" s="35">
        <v>60138.6</v>
      </c>
      <c r="L18" s="37">
        <v>736538.97</v>
      </c>
      <c r="M18" s="35">
        <v>235738.84</v>
      </c>
      <c r="N18" s="48">
        <v>972277.81</v>
      </c>
      <c r="O18" s="49">
        <f>L18*12</f>
        <v>8838467.64</v>
      </c>
      <c r="P18" s="37">
        <f>M18*12</f>
        <v>2828866.08</v>
      </c>
      <c r="Q18" s="57">
        <f>O18+P18</f>
        <v>11667333.72</v>
      </c>
      <c r="R18" s="49">
        <v>4956207</v>
      </c>
      <c r="S18" s="37">
        <v>14828807</v>
      </c>
      <c r="T18" s="35">
        <v>6319979</v>
      </c>
      <c r="U18" s="37">
        <v>26104993</v>
      </c>
      <c r="V18" s="57">
        <v>37772326.72</v>
      </c>
    </row>
    <row r="19" spans="1:22" s="47" customFormat="1" ht="12">
      <c r="A19" s="61"/>
      <c r="B19" s="46"/>
      <c r="C19" s="46"/>
      <c r="D19" s="37"/>
      <c r="E19" s="35"/>
      <c r="F19" s="37"/>
      <c r="G19" s="35"/>
      <c r="H19" s="37"/>
      <c r="I19" s="35"/>
      <c r="J19" s="37"/>
      <c r="K19" s="35"/>
      <c r="L19" s="37"/>
      <c r="M19" s="35"/>
      <c r="N19" s="48"/>
      <c r="O19" s="49"/>
      <c r="P19" s="37"/>
      <c r="Q19" s="57"/>
      <c r="R19" s="49"/>
      <c r="S19" s="37"/>
      <c r="T19" s="35"/>
      <c r="U19" s="37"/>
      <c r="V19" s="57"/>
    </row>
    <row r="20" spans="1:22" s="47" customFormat="1" ht="12">
      <c r="A20" s="62"/>
      <c r="B20" s="51" t="s">
        <v>58</v>
      </c>
      <c r="C20" s="51"/>
      <c r="D20" s="50">
        <v>101</v>
      </c>
      <c r="E20" s="52">
        <v>1633</v>
      </c>
      <c r="F20" s="50">
        <v>33</v>
      </c>
      <c r="G20" s="52">
        <v>63</v>
      </c>
      <c r="H20" s="50">
        <v>12027.2</v>
      </c>
      <c r="I20" s="52">
        <v>15266.5</v>
      </c>
      <c r="J20" s="50">
        <v>67924</v>
      </c>
      <c r="K20" s="52">
        <v>80888.3</v>
      </c>
      <c r="L20" s="50">
        <v>918683.68</v>
      </c>
      <c r="M20" s="52">
        <v>294448.69</v>
      </c>
      <c r="N20" s="53">
        <v>1213132.37</v>
      </c>
      <c r="O20" s="49">
        <f>L20*12</f>
        <v>11024204.16</v>
      </c>
      <c r="P20" s="37">
        <f>M20*12</f>
        <v>3533384.2800000003</v>
      </c>
      <c r="Q20" s="57">
        <f>O20+P20</f>
        <v>14557588.440000001</v>
      </c>
      <c r="R20" s="49">
        <f>R17+R18</f>
        <v>6814081</v>
      </c>
      <c r="S20" s="37">
        <f>S17+S18</f>
        <v>19928516</v>
      </c>
      <c r="T20" s="35">
        <f>T17+T18</f>
        <v>8402203</v>
      </c>
      <c r="U20" s="37">
        <f>U17+U18</f>
        <v>35144800</v>
      </c>
      <c r="V20" s="57">
        <f>V17+V18</f>
        <v>49702388.44</v>
      </c>
    </row>
    <row r="21" spans="1:22" s="47" customFormat="1" ht="12">
      <c r="A21" s="45"/>
      <c r="B21" s="41"/>
      <c r="C21" s="41"/>
      <c r="D21" s="39"/>
      <c r="E21" s="42"/>
      <c r="F21" s="39"/>
      <c r="G21" s="42"/>
      <c r="H21" s="39"/>
      <c r="I21" s="42"/>
      <c r="J21" s="39"/>
      <c r="K21" s="42"/>
      <c r="L21" s="39"/>
      <c r="M21" s="42"/>
      <c r="N21" s="43"/>
      <c r="O21" s="54"/>
      <c r="P21" s="39"/>
      <c r="Q21" s="55"/>
      <c r="R21" s="54"/>
      <c r="S21" s="39"/>
      <c r="T21" s="42"/>
      <c r="U21" s="39"/>
      <c r="V21" s="55"/>
    </row>
    <row r="22" spans="1:22" s="69" customFormat="1" ht="12">
      <c r="A22" s="63"/>
      <c r="B22" s="64" t="s">
        <v>61</v>
      </c>
      <c r="C22" s="64"/>
      <c r="D22" s="48">
        <f aca="true" t="shared" si="1" ref="D22:N22">D8+D14+D20</f>
        <v>310</v>
      </c>
      <c r="E22" s="65">
        <f t="shared" si="1"/>
        <v>4905</v>
      </c>
      <c r="F22" s="48">
        <f t="shared" si="1"/>
        <v>113</v>
      </c>
      <c r="G22" s="65">
        <f t="shared" si="1"/>
        <v>169</v>
      </c>
      <c r="H22" s="48">
        <f t="shared" si="1"/>
        <v>37560.9</v>
      </c>
      <c r="I22" s="65">
        <f t="shared" si="1"/>
        <v>43100.1</v>
      </c>
      <c r="J22" s="48">
        <f t="shared" si="1"/>
        <v>206173</v>
      </c>
      <c r="K22" s="65">
        <f t="shared" si="1"/>
        <v>250573.90000000002</v>
      </c>
      <c r="L22" s="48">
        <f t="shared" si="1"/>
        <v>2976574.19</v>
      </c>
      <c r="M22" s="65">
        <f t="shared" si="1"/>
        <v>941763.3200000001</v>
      </c>
      <c r="N22" s="48">
        <f t="shared" si="1"/>
        <v>3918337.5100000002</v>
      </c>
      <c r="O22" s="60">
        <f>O6+O7+O11+O12+O17+O18</f>
        <v>35718890.28</v>
      </c>
      <c r="P22" s="48">
        <f aca="true" t="shared" si="2" ref="P22:V22">P8+P14+P20</f>
        <v>11301159.84</v>
      </c>
      <c r="Q22" s="66">
        <f t="shared" si="2"/>
        <v>47020050.120000005</v>
      </c>
      <c r="R22" s="67">
        <f t="shared" si="2"/>
        <v>21487530</v>
      </c>
      <c r="S22" s="48">
        <f t="shared" si="2"/>
        <v>61377869</v>
      </c>
      <c r="T22" s="65">
        <f t="shared" si="2"/>
        <v>26258147</v>
      </c>
      <c r="U22" s="38">
        <f t="shared" si="2"/>
        <v>109123546</v>
      </c>
      <c r="V22" s="68">
        <f t="shared" si="2"/>
        <v>156143596.28</v>
      </c>
    </row>
    <row r="23" spans="1:22" s="47" customFormat="1" ht="12">
      <c r="A23" s="62"/>
      <c r="B23" s="51"/>
      <c r="C23" s="51"/>
      <c r="D23" s="50"/>
      <c r="E23" s="52"/>
      <c r="F23" s="50"/>
      <c r="G23" s="52"/>
      <c r="H23" s="50"/>
      <c r="I23" s="52"/>
      <c r="J23" s="50"/>
      <c r="K23" s="52"/>
      <c r="L23" s="50"/>
      <c r="M23" s="52"/>
      <c r="N23" s="53"/>
      <c r="O23" s="70"/>
      <c r="P23" s="50"/>
      <c r="Q23" s="59"/>
      <c r="R23" s="58"/>
      <c r="S23" s="50"/>
      <c r="T23" s="52"/>
      <c r="U23" s="50"/>
      <c r="V23" s="59"/>
    </row>
    <row r="24" spans="4:14" ht="12.7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4:14" ht="12.7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4:14" ht="12.7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4:14" ht="12.7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4:14" ht="12.7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sheetProtection/>
  <mergeCells count="20">
    <mergeCell ref="H3:H4"/>
    <mergeCell ref="I3:I4"/>
    <mergeCell ref="J3:J4"/>
    <mergeCell ref="N3:N4"/>
    <mergeCell ref="L3:M3"/>
    <mergeCell ref="K3:K4"/>
    <mergeCell ref="F3:F4"/>
    <mergeCell ref="V3:V4"/>
    <mergeCell ref="A1:V1"/>
    <mergeCell ref="R3:R4"/>
    <mergeCell ref="S3:S4"/>
    <mergeCell ref="T3:T4"/>
    <mergeCell ref="U3:U4"/>
    <mergeCell ref="Q3:Q4"/>
    <mergeCell ref="O3:P3"/>
    <mergeCell ref="G3:G4"/>
    <mergeCell ref="A3:A4"/>
    <mergeCell ref="B3:C4"/>
    <mergeCell ref="D3:D4"/>
    <mergeCell ref="E3:E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I24" sqref="I24"/>
    </sheetView>
  </sheetViews>
  <sheetFormatPr defaultColWidth="9.00390625" defaultRowHeight="12.75"/>
  <cols>
    <col min="1" max="1" width="3.375" style="0" customWidth="1"/>
    <col min="3" max="3" width="3.875" style="0" customWidth="1"/>
    <col min="4" max="4" width="4.00390625" style="0" bestFit="1" customWidth="1"/>
    <col min="5" max="5" width="5.00390625" style="0" customWidth="1"/>
    <col min="6" max="6" width="4.375" style="0" customWidth="1"/>
    <col min="7" max="7" width="5.25390625" style="0" customWidth="1"/>
    <col min="8" max="8" width="12.375" style="0" customWidth="1"/>
    <col min="9" max="9" width="10.625" style="0" bestFit="1" customWidth="1"/>
    <col min="10" max="10" width="12.00390625" style="0" customWidth="1"/>
    <col min="11" max="11" width="12.375" style="0" bestFit="1" customWidth="1"/>
    <col min="14" max="14" width="11.625" style="0" bestFit="1" customWidth="1"/>
    <col min="15" max="15" width="13.375" style="0" customWidth="1"/>
  </cols>
  <sheetData>
    <row r="1" spans="1:14" ht="12.75">
      <c r="A1" s="1"/>
      <c r="C1" s="92" t="s">
        <v>67</v>
      </c>
      <c r="D1" s="92"/>
      <c r="E1" s="92"/>
      <c r="F1" s="92"/>
      <c r="G1" s="92"/>
      <c r="H1" s="92"/>
      <c r="I1" s="92"/>
      <c r="J1" s="93"/>
      <c r="K1" s="93"/>
      <c r="L1" s="93"/>
      <c r="M1" s="93"/>
      <c r="N1" s="1"/>
    </row>
    <row r="2" spans="1:14" ht="12.75">
      <c r="A2" s="1"/>
      <c r="C2" s="1"/>
      <c r="D2" s="1"/>
      <c r="E2" s="1"/>
      <c r="F2" s="1"/>
      <c r="G2" s="1"/>
      <c r="H2" s="1"/>
      <c r="I2" s="1"/>
      <c r="J2" s="1"/>
      <c r="K2" s="3"/>
      <c r="L2" s="1"/>
      <c r="M2" s="1"/>
      <c r="N2" s="1"/>
    </row>
    <row r="3" spans="1:15" ht="12.75" customHeight="1">
      <c r="A3" s="94" t="s">
        <v>1</v>
      </c>
      <c r="B3" s="95" t="s">
        <v>2</v>
      </c>
      <c r="C3" s="95"/>
      <c r="D3" s="96" t="s">
        <v>3</v>
      </c>
      <c r="E3" s="97" t="s">
        <v>4</v>
      </c>
      <c r="F3" s="97" t="s">
        <v>5</v>
      </c>
      <c r="G3" s="97" t="s">
        <v>6</v>
      </c>
      <c r="H3" s="26" t="s">
        <v>68</v>
      </c>
      <c r="I3" s="21"/>
      <c r="J3" s="125" t="s">
        <v>69</v>
      </c>
      <c r="K3" s="117" t="s">
        <v>75</v>
      </c>
      <c r="L3" s="117" t="s">
        <v>70</v>
      </c>
      <c r="M3" s="117" t="s">
        <v>73</v>
      </c>
      <c r="N3" s="112" t="s">
        <v>71</v>
      </c>
      <c r="O3" s="112" t="s">
        <v>72</v>
      </c>
    </row>
    <row r="4" spans="1:15" ht="63" customHeight="1">
      <c r="A4" s="94"/>
      <c r="B4" s="95"/>
      <c r="C4" s="95"/>
      <c r="D4" s="96"/>
      <c r="E4" s="97"/>
      <c r="F4" s="97"/>
      <c r="G4" s="97"/>
      <c r="H4" s="4" t="s">
        <v>16</v>
      </c>
      <c r="I4" s="4" t="s">
        <v>17</v>
      </c>
      <c r="J4" s="126"/>
      <c r="K4" s="118"/>
      <c r="L4" s="119"/>
      <c r="M4" s="119"/>
      <c r="N4" s="113"/>
      <c r="O4" s="113"/>
    </row>
    <row r="5" spans="1:15" ht="12.75">
      <c r="A5" s="83" t="s">
        <v>18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5"/>
    </row>
    <row r="6" spans="1:15" ht="12.75">
      <c r="A6" s="5">
        <v>1</v>
      </c>
      <c r="B6" s="80" t="s">
        <v>23</v>
      </c>
      <c r="C6" s="80"/>
      <c r="D6" s="5">
        <v>5</v>
      </c>
      <c r="E6" s="5">
        <v>139</v>
      </c>
      <c r="F6" s="5"/>
      <c r="G6" s="5">
        <v>9</v>
      </c>
      <c r="H6" s="7">
        <f>12*54019.84</f>
        <v>648238.08</v>
      </c>
      <c r="I6" s="7">
        <f>12*17411.95</f>
        <v>208943.40000000002</v>
      </c>
      <c r="J6" s="12">
        <f>H6+I6</f>
        <v>857181.48</v>
      </c>
      <c r="K6" s="27">
        <v>552448</v>
      </c>
      <c r="L6" s="28">
        <v>1516542</v>
      </c>
      <c r="M6" s="28">
        <v>582019</v>
      </c>
      <c r="N6" s="27">
        <f>K6+L6+M6</f>
        <v>2651009</v>
      </c>
      <c r="O6" s="29">
        <f>J6+N6</f>
        <v>3508190.48</v>
      </c>
    </row>
    <row r="7" spans="1:15" ht="12.75">
      <c r="A7" s="5">
        <v>2</v>
      </c>
      <c r="B7" s="80" t="s">
        <v>24</v>
      </c>
      <c r="C7" s="80"/>
      <c r="D7" s="5">
        <v>5</v>
      </c>
      <c r="E7" s="5">
        <v>110</v>
      </c>
      <c r="F7" s="5"/>
      <c r="G7" s="5">
        <v>7</v>
      </c>
      <c r="H7" s="7">
        <f>12*42346.87</f>
        <v>508162.44000000006</v>
      </c>
      <c r="I7" s="7">
        <f>12*13649.47</f>
        <v>163793.63999999998</v>
      </c>
      <c r="J7" s="12">
        <f>H7+I7</f>
        <v>671956.0800000001</v>
      </c>
      <c r="K7" s="28">
        <v>436173</v>
      </c>
      <c r="L7" s="28">
        <v>1184070</v>
      </c>
      <c r="M7" s="28">
        <v>540400</v>
      </c>
      <c r="N7" s="28">
        <f>M7+L7+K7</f>
        <v>2160643</v>
      </c>
      <c r="O7" s="29">
        <f>N7+J7</f>
        <v>2832599.08</v>
      </c>
    </row>
    <row r="8" spans="1:15" ht="12.75">
      <c r="A8" s="5">
        <v>3</v>
      </c>
      <c r="B8" s="80" t="s">
        <v>25</v>
      </c>
      <c r="C8" s="80"/>
      <c r="D8" s="5">
        <v>5</v>
      </c>
      <c r="E8" s="5">
        <v>110</v>
      </c>
      <c r="F8" s="5"/>
      <c r="G8" s="5">
        <v>7</v>
      </c>
      <c r="H8" s="7">
        <f>12*42412.67</f>
        <v>508952.04</v>
      </c>
      <c r="I8" s="7">
        <f>12*13670.73</f>
        <v>164048.76</v>
      </c>
      <c r="J8" s="12">
        <f>H8+I8</f>
        <v>673000.8</v>
      </c>
      <c r="K8" s="28">
        <v>445429</v>
      </c>
      <c r="L8" s="28">
        <v>1214261</v>
      </c>
      <c r="M8" s="28">
        <v>495102</v>
      </c>
      <c r="N8" s="28">
        <f>M8+L8+K8</f>
        <v>2154792</v>
      </c>
      <c r="O8" s="29">
        <f>N8+J8</f>
        <v>2827792.8</v>
      </c>
    </row>
    <row r="9" spans="1:15" ht="12.75">
      <c r="A9" s="6">
        <v>4</v>
      </c>
      <c r="B9" s="111" t="s">
        <v>51</v>
      </c>
      <c r="C9" s="111"/>
      <c r="D9" s="18">
        <v>5</v>
      </c>
      <c r="E9" s="18">
        <v>110</v>
      </c>
      <c r="F9" s="18"/>
      <c r="G9" s="18">
        <v>7</v>
      </c>
      <c r="H9" s="19">
        <f>12*43365.33</f>
        <v>520383.96</v>
      </c>
      <c r="I9" s="19">
        <f>12*13977.7</f>
        <v>167732.40000000002</v>
      </c>
      <c r="J9" s="12">
        <f>H9+I9</f>
        <v>688116.3600000001</v>
      </c>
      <c r="K9" s="28">
        <v>423824</v>
      </c>
      <c r="L9" s="28">
        <v>1184836</v>
      </c>
      <c r="M9" s="28">
        <v>464703</v>
      </c>
      <c r="N9" s="28">
        <f>M9+L9+K9</f>
        <v>2073363</v>
      </c>
      <c r="O9" s="29">
        <f>N9+J9</f>
        <v>2761479.3600000003</v>
      </c>
    </row>
    <row r="10" spans="1:15" ht="12.75">
      <c r="A10" s="10"/>
      <c r="B10" s="81" t="s">
        <v>26</v>
      </c>
      <c r="C10" s="82"/>
      <c r="D10" s="10">
        <f>SUM(D6:D9)</f>
        <v>20</v>
      </c>
      <c r="E10" s="10">
        <f>SUM(E6:E9)</f>
        <v>469</v>
      </c>
      <c r="F10" s="10"/>
      <c r="G10" s="10">
        <f>SUM(G6:G9)</f>
        <v>30</v>
      </c>
      <c r="H10" s="9">
        <f>SUM(H6:H9)</f>
        <v>2185736.52</v>
      </c>
      <c r="I10" s="9">
        <f>SUM(I6:I9)</f>
        <v>704518.2000000001</v>
      </c>
      <c r="J10" s="12">
        <f aca="true" t="shared" si="0" ref="J10:O10">J6+J7+J8+J9</f>
        <v>2890254.7200000007</v>
      </c>
      <c r="K10" s="27">
        <f t="shared" si="0"/>
        <v>1857874</v>
      </c>
      <c r="L10" s="28">
        <f t="shared" si="0"/>
        <v>5099709</v>
      </c>
      <c r="M10" s="28">
        <f t="shared" si="0"/>
        <v>2082224</v>
      </c>
      <c r="N10" s="27">
        <f t="shared" si="0"/>
        <v>9039807</v>
      </c>
      <c r="O10" s="29">
        <f t="shared" si="0"/>
        <v>11930061.719999999</v>
      </c>
    </row>
    <row r="11" spans="1:15" ht="12.75">
      <c r="A11" s="83" t="s">
        <v>27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5"/>
    </row>
    <row r="12" spans="1:15" ht="12.75">
      <c r="A12" s="5">
        <v>5</v>
      </c>
      <c r="B12" s="80" t="s">
        <v>28</v>
      </c>
      <c r="C12" s="80"/>
      <c r="D12" s="5">
        <v>9</v>
      </c>
      <c r="E12" s="5">
        <v>172</v>
      </c>
      <c r="F12" s="5">
        <v>5</v>
      </c>
      <c r="G12" s="5">
        <v>5</v>
      </c>
      <c r="H12" s="7">
        <f>12*96108.29</f>
        <v>1153299.48</v>
      </c>
      <c r="I12" s="7">
        <f>12*34708.66</f>
        <v>416503.92000000004</v>
      </c>
      <c r="J12" s="12">
        <f>H12+I12</f>
        <v>1569803.4</v>
      </c>
      <c r="K12" s="28">
        <v>848769</v>
      </c>
      <c r="L12" s="28">
        <v>2282952</v>
      </c>
      <c r="M12" s="28">
        <v>972978</v>
      </c>
      <c r="N12" s="28">
        <f>M12+L12+K12</f>
        <v>4104699</v>
      </c>
      <c r="O12" s="29">
        <f>N12+J12</f>
        <v>5674502.4</v>
      </c>
    </row>
    <row r="13" spans="1:15" ht="12.75">
      <c r="A13" s="5">
        <v>6</v>
      </c>
      <c r="B13" s="80" t="s">
        <v>52</v>
      </c>
      <c r="C13" s="80"/>
      <c r="D13" s="5">
        <v>9</v>
      </c>
      <c r="E13" s="5">
        <v>108</v>
      </c>
      <c r="F13" s="5">
        <v>3</v>
      </c>
      <c r="G13" s="5">
        <v>3</v>
      </c>
      <c r="H13" s="7">
        <f>12*72949.06</f>
        <v>875388.72</v>
      </c>
      <c r="I13" s="7">
        <f>12*22898.55</f>
        <v>274782.6</v>
      </c>
      <c r="J13" s="12">
        <f>H13+I13</f>
        <v>1150171.3199999998</v>
      </c>
      <c r="K13" s="28">
        <v>467199</v>
      </c>
      <c r="L13" s="28">
        <v>1380661</v>
      </c>
      <c r="M13" s="28">
        <v>564435</v>
      </c>
      <c r="N13" s="28">
        <f>M13+L13+K13</f>
        <v>2412295</v>
      </c>
      <c r="O13" s="29">
        <f>N13+J13</f>
        <v>3562466.32</v>
      </c>
    </row>
    <row r="14" spans="1:15" ht="12.75">
      <c r="A14" s="18">
        <v>7</v>
      </c>
      <c r="B14" s="80" t="s">
        <v>53</v>
      </c>
      <c r="C14" s="80"/>
      <c r="D14" s="5">
        <v>9</v>
      </c>
      <c r="E14" s="5">
        <v>142</v>
      </c>
      <c r="F14" s="5">
        <v>4</v>
      </c>
      <c r="G14" s="5">
        <v>4</v>
      </c>
      <c r="H14" s="7">
        <f>12*90739.93</f>
        <v>1088879.16</v>
      </c>
      <c r="I14" s="7">
        <f>12*28483.14</f>
        <v>341797.68</v>
      </c>
      <c r="J14" s="12">
        <f>H14+I14</f>
        <v>1430676.8399999999</v>
      </c>
      <c r="K14" s="28">
        <v>673588</v>
      </c>
      <c r="L14" s="28">
        <v>1830846</v>
      </c>
      <c r="M14" s="28">
        <v>853151</v>
      </c>
      <c r="N14" s="28">
        <f>M14+L14+K14</f>
        <v>3357585</v>
      </c>
      <c r="O14" s="29">
        <f>N14+J14</f>
        <v>4788261.84</v>
      </c>
    </row>
    <row r="15" spans="1:15" ht="12.75">
      <c r="A15" s="18">
        <v>8</v>
      </c>
      <c r="B15" s="80" t="s">
        <v>54</v>
      </c>
      <c r="C15" s="80"/>
      <c r="D15" s="6">
        <v>9</v>
      </c>
      <c r="E15" s="6">
        <v>141</v>
      </c>
      <c r="F15" s="6">
        <v>4</v>
      </c>
      <c r="G15" s="6">
        <v>4</v>
      </c>
      <c r="H15" s="7">
        <f>12*92868.4</f>
        <v>1114420.7999999998</v>
      </c>
      <c r="I15" s="7">
        <f>12*29151.17</f>
        <v>349814.04</v>
      </c>
      <c r="J15" s="12">
        <f>H15+I15</f>
        <v>1464234.8399999999</v>
      </c>
      <c r="K15" s="28">
        <v>503263</v>
      </c>
      <c r="L15" s="28">
        <v>1774310</v>
      </c>
      <c r="M15" s="28">
        <v>744223</v>
      </c>
      <c r="N15" s="28">
        <f aca="true" t="shared" si="1" ref="N15:N20">K15+L15+M15</f>
        <v>3021796</v>
      </c>
      <c r="O15" s="29">
        <f aca="true" t="shared" si="2" ref="O15:O22">J15+N15</f>
        <v>4486030.84</v>
      </c>
    </row>
    <row r="16" spans="1:15" ht="12.75">
      <c r="A16" s="5">
        <v>9</v>
      </c>
      <c r="B16" s="80" t="s">
        <v>38</v>
      </c>
      <c r="C16" s="80"/>
      <c r="D16" s="5">
        <v>9</v>
      </c>
      <c r="E16" s="5">
        <v>212</v>
      </c>
      <c r="F16" s="5">
        <v>6</v>
      </c>
      <c r="G16" s="5">
        <v>6</v>
      </c>
      <c r="H16" s="7">
        <f>12*136198.92</f>
        <v>1634387.04</v>
      </c>
      <c r="I16" s="7">
        <f>12*42752.66</f>
        <v>513031.92000000004</v>
      </c>
      <c r="J16" s="12">
        <f>H16+I16</f>
        <v>2147418.96</v>
      </c>
      <c r="K16" s="28">
        <v>836446</v>
      </c>
      <c r="L16" s="28">
        <v>2660618</v>
      </c>
      <c r="M16" s="28">
        <v>1140838</v>
      </c>
      <c r="N16" s="28">
        <f t="shared" si="1"/>
        <v>4637902</v>
      </c>
      <c r="O16" s="29">
        <f t="shared" si="2"/>
        <v>6785320.96</v>
      </c>
    </row>
    <row r="17" spans="1:15" ht="12.75">
      <c r="A17" s="5">
        <v>10</v>
      </c>
      <c r="B17" s="80" t="s">
        <v>39</v>
      </c>
      <c r="C17" s="80"/>
      <c r="D17" s="5">
        <v>9</v>
      </c>
      <c r="E17" s="5">
        <v>34</v>
      </c>
      <c r="F17" s="5">
        <v>1</v>
      </c>
      <c r="G17" s="5">
        <v>1</v>
      </c>
      <c r="H17" s="7">
        <f>12*20664.28</f>
        <v>247971.36</v>
      </c>
      <c r="I17" s="7">
        <f>12*6486.46</f>
        <v>77837.52</v>
      </c>
      <c r="J17" s="12">
        <f>SUM(H17:I17)</f>
        <v>325808.88</v>
      </c>
      <c r="K17" s="28">
        <v>122614</v>
      </c>
      <c r="L17" s="28">
        <v>395157</v>
      </c>
      <c r="M17" s="28">
        <v>154896</v>
      </c>
      <c r="N17" s="28">
        <f t="shared" si="1"/>
        <v>672667</v>
      </c>
      <c r="O17" s="29">
        <f t="shared" si="2"/>
        <v>998475.88</v>
      </c>
    </row>
    <row r="18" spans="1:15" ht="12.75">
      <c r="A18" s="5">
        <v>11</v>
      </c>
      <c r="B18" s="80" t="s">
        <v>40</v>
      </c>
      <c r="C18" s="80"/>
      <c r="D18" s="5">
        <v>9</v>
      </c>
      <c r="E18" s="5">
        <v>214</v>
      </c>
      <c r="F18" s="5">
        <v>6</v>
      </c>
      <c r="G18" s="5">
        <v>6</v>
      </c>
      <c r="H18" s="7">
        <f>12*136416.63</f>
        <v>1636999.56</v>
      </c>
      <c r="I18" s="7">
        <f>12*42821.05</f>
        <v>513852.60000000003</v>
      </c>
      <c r="J18" s="12">
        <f>H18+I18</f>
        <v>2150852.16</v>
      </c>
      <c r="K18" s="28">
        <v>839361</v>
      </c>
      <c r="L18" s="28">
        <v>2660483</v>
      </c>
      <c r="M18" s="28">
        <v>1050754</v>
      </c>
      <c r="N18" s="28">
        <f t="shared" si="1"/>
        <v>4550598</v>
      </c>
      <c r="O18" s="29">
        <f t="shared" si="2"/>
        <v>6701450.16</v>
      </c>
    </row>
    <row r="19" spans="1:15" ht="12.75">
      <c r="A19" s="5">
        <v>12</v>
      </c>
      <c r="B19" s="80" t="s">
        <v>41</v>
      </c>
      <c r="C19" s="80"/>
      <c r="D19" s="5">
        <v>9</v>
      </c>
      <c r="E19" s="5">
        <v>34</v>
      </c>
      <c r="F19" s="5">
        <v>1</v>
      </c>
      <c r="G19" s="5">
        <v>1</v>
      </c>
      <c r="H19" s="7">
        <f>12*20943.46</f>
        <v>251321.52</v>
      </c>
      <c r="I19" s="7">
        <f>12*6574.13</f>
        <v>78889.56</v>
      </c>
      <c r="J19" s="12">
        <f>H19+I19</f>
        <v>330211.07999999996</v>
      </c>
      <c r="K19" s="28">
        <v>173527</v>
      </c>
      <c r="L19" s="28">
        <v>443510</v>
      </c>
      <c r="M19" s="28">
        <v>189795</v>
      </c>
      <c r="N19" s="28">
        <f t="shared" si="1"/>
        <v>806832</v>
      </c>
      <c r="O19" s="30">
        <f t="shared" si="2"/>
        <v>1137043.08</v>
      </c>
    </row>
    <row r="20" spans="1:15" ht="12.75">
      <c r="A20" s="5">
        <v>13</v>
      </c>
      <c r="B20" s="80" t="s">
        <v>42</v>
      </c>
      <c r="C20" s="80"/>
      <c r="D20" s="5">
        <v>9</v>
      </c>
      <c r="E20" s="5">
        <v>107</v>
      </c>
      <c r="F20" s="5">
        <v>3</v>
      </c>
      <c r="G20" s="5">
        <v>3</v>
      </c>
      <c r="H20" s="7">
        <f>12*69650</f>
        <v>835800</v>
      </c>
      <c r="I20" s="7">
        <f>12*21863.02</f>
        <v>262356.24</v>
      </c>
      <c r="J20" s="12">
        <f>H20+I20</f>
        <v>1098156.24</v>
      </c>
      <c r="K20" s="28">
        <v>491440</v>
      </c>
      <c r="L20" s="28">
        <v>1400270</v>
      </c>
      <c r="M20" s="28">
        <v>648909</v>
      </c>
      <c r="N20" s="28">
        <f t="shared" si="1"/>
        <v>2540619</v>
      </c>
      <c r="O20" s="30">
        <f t="shared" si="2"/>
        <v>3638775.24</v>
      </c>
    </row>
    <row r="21" spans="1:15" ht="12.75">
      <c r="A21" s="10"/>
      <c r="B21" s="81" t="s">
        <v>26</v>
      </c>
      <c r="C21" s="82"/>
      <c r="D21" s="10">
        <f aca="true" t="shared" si="3" ref="D21:I21">SUM(D12:D20)</f>
        <v>81</v>
      </c>
      <c r="E21" s="10">
        <f t="shared" si="3"/>
        <v>1164</v>
      </c>
      <c r="F21" s="10">
        <f t="shared" si="3"/>
        <v>33</v>
      </c>
      <c r="G21" s="10">
        <f t="shared" si="3"/>
        <v>33</v>
      </c>
      <c r="H21" s="9">
        <f t="shared" si="3"/>
        <v>8838467.64</v>
      </c>
      <c r="I21" s="9">
        <f t="shared" si="3"/>
        <v>2828866.08</v>
      </c>
      <c r="J21" s="12">
        <f>J12+J13+J14+J15+J16+J17+J18+J19+J20</f>
        <v>11667333.719999999</v>
      </c>
      <c r="K21" s="30">
        <f>K12+K13+K14+K15+K16+K17+K18+K19+K20</f>
        <v>4956207</v>
      </c>
      <c r="L21" s="30">
        <f>L12+L13+L14+L15+L16+L17+L18+L19+L20</f>
        <v>14828807</v>
      </c>
      <c r="M21" s="30">
        <f>M12+M13+M14+M15+M16+M17+M18+M19+M20</f>
        <v>6319979</v>
      </c>
      <c r="N21" s="30">
        <f>N12+N13+N14+N15+N16+N17+N18+N19+N20</f>
        <v>26104993</v>
      </c>
      <c r="O21" s="30">
        <f t="shared" si="2"/>
        <v>37772326.72</v>
      </c>
    </row>
    <row r="22" spans="1:15" ht="12.75">
      <c r="A22" s="10"/>
      <c r="B22" s="79" t="s">
        <v>43</v>
      </c>
      <c r="C22" s="79"/>
      <c r="D22" s="10">
        <f aca="true" t="shared" si="4" ref="D22:I22">D10+D21</f>
        <v>101</v>
      </c>
      <c r="E22" s="10">
        <f t="shared" si="4"/>
        <v>1633</v>
      </c>
      <c r="F22" s="10">
        <f t="shared" si="4"/>
        <v>33</v>
      </c>
      <c r="G22" s="10">
        <f t="shared" si="4"/>
        <v>63</v>
      </c>
      <c r="H22" s="9">
        <f t="shared" si="4"/>
        <v>11024204.16</v>
      </c>
      <c r="I22" s="10">
        <f t="shared" si="4"/>
        <v>3533384.2800000003</v>
      </c>
      <c r="J22" s="9">
        <f>J6+J7+J8+J9+J12+J13+J14+J15+J16+J17+J18+J19+J20</f>
        <v>14557588.440000003</v>
      </c>
      <c r="K22" s="29">
        <f>K21+K10</f>
        <v>6814081</v>
      </c>
      <c r="L22" s="30">
        <f>L21+L10</f>
        <v>19928516</v>
      </c>
      <c r="M22" s="30">
        <f>M10+M21</f>
        <v>8402203</v>
      </c>
      <c r="N22" s="29">
        <f>N10+N21</f>
        <v>35144800</v>
      </c>
      <c r="O22" s="30">
        <f t="shared" si="2"/>
        <v>49702388.440000005</v>
      </c>
    </row>
    <row r="23" spans="1:14" ht="12.75">
      <c r="A23" s="13"/>
      <c r="B23" s="14"/>
      <c r="C23" s="14"/>
      <c r="D23" s="13"/>
      <c r="E23" s="15"/>
      <c r="F23" s="15"/>
      <c r="G23" s="15"/>
      <c r="H23" s="16"/>
      <c r="I23" s="16"/>
      <c r="J23" s="16"/>
      <c r="K23" s="16"/>
      <c r="L23" s="16"/>
      <c r="M23" s="16"/>
      <c r="N23" s="20"/>
    </row>
    <row r="24" spans="1:15" ht="12.75">
      <c r="A24" s="13"/>
      <c r="B24" s="14"/>
      <c r="C24" s="14"/>
      <c r="D24" s="13"/>
      <c r="E24" s="15"/>
      <c r="F24" s="15"/>
      <c r="G24" s="15"/>
      <c r="H24" s="16"/>
      <c r="I24" s="16"/>
      <c r="J24" s="16"/>
      <c r="K24" s="16"/>
      <c r="L24" s="16"/>
      <c r="M24" s="16"/>
      <c r="N24" s="17"/>
      <c r="O24" s="20"/>
    </row>
    <row r="25" spans="1:14" ht="12.75">
      <c r="A25" s="1"/>
      <c r="H25" s="20"/>
      <c r="K25" s="3"/>
      <c r="L25" s="1"/>
      <c r="M25" s="1"/>
      <c r="N25" s="1"/>
    </row>
    <row r="26" spans="1:15" ht="12.75">
      <c r="A26" s="116" t="s">
        <v>44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</sheetData>
  <sheetProtection/>
  <mergeCells count="32">
    <mergeCell ref="C1:M1"/>
    <mergeCell ref="A3:A4"/>
    <mergeCell ref="B3:C4"/>
    <mergeCell ref="D3:D4"/>
    <mergeCell ref="E3:E4"/>
    <mergeCell ref="F3:F4"/>
    <mergeCell ref="G3:G4"/>
    <mergeCell ref="J3:J4"/>
    <mergeCell ref="B8:C8"/>
    <mergeCell ref="B9:C9"/>
    <mergeCell ref="K3:K4"/>
    <mergeCell ref="N3:N4"/>
    <mergeCell ref="B16:C16"/>
    <mergeCell ref="B17:C17"/>
    <mergeCell ref="O3:O4"/>
    <mergeCell ref="A5:O5"/>
    <mergeCell ref="A11:O11"/>
    <mergeCell ref="B10:C10"/>
    <mergeCell ref="B12:C12"/>
    <mergeCell ref="B13:C13"/>
    <mergeCell ref="B6:C6"/>
    <mergeCell ref="B7:C7"/>
    <mergeCell ref="A26:O26"/>
    <mergeCell ref="B22:C22"/>
    <mergeCell ref="L3:L4"/>
    <mergeCell ref="M3:M4"/>
    <mergeCell ref="B18:C18"/>
    <mergeCell ref="B19:C19"/>
    <mergeCell ref="B20:C20"/>
    <mergeCell ref="B21:C21"/>
    <mergeCell ref="B14:C14"/>
    <mergeCell ref="B15:C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L28" sqref="L28"/>
    </sheetView>
  </sheetViews>
  <sheetFormatPr defaultColWidth="9.00390625" defaultRowHeight="12.75"/>
  <cols>
    <col min="1" max="1" width="3.375" style="0" customWidth="1"/>
    <col min="3" max="3" width="2.625" style="0" customWidth="1"/>
    <col min="4" max="4" width="4.125" style="0" customWidth="1"/>
    <col min="5" max="5" width="5.375" style="0" customWidth="1"/>
    <col min="6" max="6" width="4.125" style="0" customWidth="1"/>
    <col min="7" max="7" width="4.25390625" style="0" customWidth="1"/>
    <col min="8" max="8" width="8.125" style="0" customWidth="1"/>
    <col min="9" max="10" width="7.75390625" style="0" customWidth="1"/>
    <col min="12" max="12" width="11.25390625" style="0" customWidth="1"/>
    <col min="13" max="13" width="10.125" style="0" customWidth="1"/>
    <col min="14" max="14" width="11.125" style="0" customWidth="1"/>
  </cols>
  <sheetData>
    <row r="1" spans="1:14" ht="12.75">
      <c r="A1" s="1"/>
      <c r="C1" s="92" t="s">
        <v>65</v>
      </c>
      <c r="D1" s="92"/>
      <c r="E1" s="92"/>
      <c r="F1" s="92"/>
      <c r="G1" s="92"/>
      <c r="H1" s="92"/>
      <c r="I1" s="92"/>
      <c r="J1" s="93"/>
      <c r="K1" s="93"/>
      <c r="L1" s="93"/>
      <c r="M1" s="93"/>
      <c r="N1" s="1"/>
    </row>
    <row r="2" spans="1:14" ht="12.75">
      <c r="A2" s="1"/>
      <c r="C2" s="1"/>
      <c r="D2" s="1"/>
      <c r="E2" s="1"/>
      <c r="F2" s="1"/>
      <c r="G2" s="1"/>
      <c r="H2" s="1"/>
      <c r="I2" s="1"/>
      <c r="J2" s="1"/>
      <c r="K2" s="3"/>
      <c r="L2" s="1"/>
      <c r="M2" s="1"/>
      <c r="N2" s="1"/>
    </row>
    <row r="3" spans="1:14" ht="12.75" customHeight="1">
      <c r="A3" s="94" t="s">
        <v>1</v>
      </c>
      <c r="B3" s="95" t="s">
        <v>2</v>
      </c>
      <c r="C3" s="95"/>
      <c r="D3" s="96" t="s">
        <v>3</v>
      </c>
      <c r="E3" s="97" t="s">
        <v>4</v>
      </c>
      <c r="F3" s="97" t="s">
        <v>5</v>
      </c>
      <c r="G3" s="97" t="s">
        <v>6</v>
      </c>
      <c r="H3" s="97" t="s">
        <v>7</v>
      </c>
      <c r="I3" s="97" t="s">
        <v>8</v>
      </c>
      <c r="J3" s="97" t="s">
        <v>9</v>
      </c>
      <c r="K3" s="86" t="s">
        <v>10</v>
      </c>
      <c r="L3" s="87" t="s">
        <v>11</v>
      </c>
      <c r="M3" s="88"/>
      <c r="N3" s="89" t="s">
        <v>12</v>
      </c>
    </row>
    <row r="4" spans="1:14" ht="65.25" customHeight="1">
      <c r="A4" s="94"/>
      <c r="B4" s="95"/>
      <c r="C4" s="95"/>
      <c r="D4" s="96"/>
      <c r="E4" s="97"/>
      <c r="F4" s="97"/>
      <c r="G4" s="97"/>
      <c r="H4" s="97"/>
      <c r="I4" s="97"/>
      <c r="J4" s="97"/>
      <c r="K4" s="86"/>
      <c r="L4" s="4" t="s">
        <v>16</v>
      </c>
      <c r="M4" s="4" t="s">
        <v>17</v>
      </c>
      <c r="N4" s="90"/>
    </row>
    <row r="5" spans="1:14" ht="12.75">
      <c r="A5" s="83" t="s">
        <v>18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12.75">
      <c r="A6" s="5">
        <v>1</v>
      </c>
      <c r="B6" s="80" t="s">
        <v>23</v>
      </c>
      <c r="C6" s="80"/>
      <c r="D6" s="5">
        <v>5</v>
      </c>
      <c r="E6" s="5">
        <v>139</v>
      </c>
      <c r="F6" s="5"/>
      <c r="G6" s="5">
        <v>9</v>
      </c>
      <c r="H6" s="5">
        <v>788.1</v>
      </c>
      <c r="I6" s="5">
        <v>1632.4</v>
      </c>
      <c r="J6" s="5">
        <v>6410</v>
      </c>
      <c r="K6" s="6">
        <v>6145.2</v>
      </c>
      <c r="L6" s="7">
        <v>54019.84</v>
      </c>
      <c r="M6" s="7">
        <v>17411.95</v>
      </c>
      <c r="N6" s="8">
        <f>L6+M6</f>
        <v>71431.79</v>
      </c>
    </row>
    <row r="7" spans="1:14" ht="12.75">
      <c r="A7" s="5">
        <v>2</v>
      </c>
      <c r="B7" s="80" t="s">
        <v>24</v>
      </c>
      <c r="C7" s="80"/>
      <c r="D7" s="5">
        <v>5</v>
      </c>
      <c r="E7" s="5">
        <v>110</v>
      </c>
      <c r="F7" s="5"/>
      <c r="G7" s="5">
        <v>7</v>
      </c>
      <c r="H7" s="5">
        <v>609.7</v>
      </c>
      <c r="I7" s="5">
        <v>1282.6</v>
      </c>
      <c r="J7" s="5">
        <v>5832</v>
      </c>
      <c r="K7" s="6">
        <v>4850.2</v>
      </c>
      <c r="L7" s="7">
        <v>42346.87</v>
      </c>
      <c r="M7" s="7">
        <v>13649.47</v>
      </c>
      <c r="N7" s="8">
        <f>L7+M7</f>
        <v>55996.340000000004</v>
      </c>
    </row>
    <row r="8" spans="1:14" ht="12.75">
      <c r="A8" s="5">
        <v>3</v>
      </c>
      <c r="B8" s="80" t="s">
        <v>25</v>
      </c>
      <c r="C8" s="80"/>
      <c r="D8" s="5">
        <v>5</v>
      </c>
      <c r="E8" s="5">
        <v>110</v>
      </c>
      <c r="F8" s="5"/>
      <c r="G8" s="5">
        <v>7</v>
      </c>
      <c r="H8" s="5">
        <v>629.7</v>
      </c>
      <c r="I8" s="5">
        <v>1308.7</v>
      </c>
      <c r="J8" s="5">
        <v>5214</v>
      </c>
      <c r="K8" s="6">
        <v>4827.8</v>
      </c>
      <c r="L8" s="7">
        <v>42412.67</v>
      </c>
      <c r="M8" s="7">
        <v>13670.73</v>
      </c>
      <c r="N8" s="8">
        <f>L8+M8</f>
        <v>56083.399999999994</v>
      </c>
    </row>
    <row r="9" spans="1:14" ht="12.75">
      <c r="A9" s="6">
        <v>4</v>
      </c>
      <c r="B9" s="111" t="s">
        <v>51</v>
      </c>
      <c r="C9" s="111"/>
      <c r="D9" s="18">
        <v>5</v>
      </c>
      <c r="E9" s="18">
        <v>110</v>
      </c>
      <c r="F9" s="18"/>
      <c r="G9" s="18">
        <v>7</v>
      </c>
      <c r="H9" s="18">
        <v>685.8</v>
      </c>
      <c r="I9" s="18">
        <v>1293</v>
      </c>
      <c r="J9" s="18">
        <v>4129</v>
      </c>
      <c r="K9" s="6">
        <v>4926.5</v>
      </c>
      <c r="L9" s="19">
        <v>43365.33</v>
      </c>
      <c r="M9" s="19">
        <v>13977.7</v>
      </c>
      <c r="N9" s="8">
        <f>L9+M9</f>
        <v>57343.03</v>
      </c>
    </row>
    <row r="10" spans="1:14" ht="12.75">
      <c r="A10" s="10"/>
      <c r="B10" s="81" t="s">
        <v>26</v>
      </c>
      <c r="C10" s="82"/>
      <c r="D10" s="10">
        <f>SUM(D6:D9)</f>
        <v>20</v>
      </c>
      <c r="E10" s="10">
        <f>SUM(E6:E9)</f>
        <v>469</v>
      </c>
      <c r="F10" s="10"/>
      <c r="G10" s="10">
        <f aca="true" t="shared" si="0" ref="G10:M10">SUM(G6:G9)</f>
        <v>30</v>
      </c>
      <c r="H10" s="10">
        <f t="shared" si="0"/>
        <v>2713.3</v>
      </c>
      <c r="I10" s="10">
        <f t="shared" si="0"/>
        <v>5516.7</v>
      </c>
      <c r="J10" s="10">
        <f t="shared" si="0"/>
        <v>21585</v>
      </c>
      <c r="K10" s="11">
        <f t="shared" si="0"/>
        <v>20749.7</v>
      </c>
      <c r="L10" s="9">
        <f t="shared" si="0"/>
        <v>182144.71000000002</v>
      </c>
      <c r="M10" s="9">
        <f t="shared" si="0"/>
        <v>58709.84999999999</v>
      </c>
      <c r="N10" s="12">
        <f>N6+N7+N8+N9</f>
        <v>240854.56</v>
      </c>
    </row>
    <row r="11" spans="1:14" ht="12.75">
      <c r="A11" s="83" t="s">
        <v>27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</row>
    <row r="12" spans="1:14" ht="12.75">
      <c r="A12" s="5">
        <v>5</v>
      </c>
      <c r="B12" s="80" t="s">
        <v>28</v>
      </c>
      <c r="C12" s="80"/>
      <c r="D12" s="5">
        <v>9</v>
      </c>
      <c r="E12" s="5">
        <v>172</v>
      </c>
      <c r="F12" s="5">
        <v>5</v>
      </c>
      <c r="G12" s="5">
        <v>5</v>
      </c>
      <c r="H12" s="5">
        <v>1343.8</v>
      </c>
      <c r="I12" s="5">
        <v>1470.1</v>
      </c>
      <c r="J12" s="5">
        <v>4278</v>
      </c>
      <c r="K12" s="6">
        <v>8863</v>
      </c>
      <c r="L12" s="7">
        <v>96108.29</v>
      </c>
      <c r="M12" s="7">
        <v>34708.66</v>
      </c>
      <c r="N12" s="8">
        <f>L12+M12</f>
        <v>130816.95</v>
      </c>
    </row>
    <row r="13" spans="1:14" ht="12.75">
      <c r="A13" s="5">
        <v>6</v>
      </c>
      <c r="B13" s="80" t="s">
        <v>52</v>
      </c>
      <c r="C13" s="80"/>
      <c r="D13" s="5">
        <v>9</v>
      </c>
      <c r="E13" s="5">
        <v>108</v>
      </c>
      <c r="F13" s="5">
        <v>3</v>
      </c>
      <c r="G13" s="5">
        <v>3</v>
      </c>
      <c r="H13" s="5">
        <v>978.7</v>
      </c>
      <c r="I13" s="5">
        <v>984.1</v>
      </c>
      <c r="J13" s="5">
        <v>2938</v>
      </c>
      <c r="K13" s="6">
        <v>5829.4</v>
      </c>
      <c r="L13" s="7">
        <v>72949.06</v>
      </c>
      <c r="M13" s="7">
        <v>22898.55</v>
      </c>
      <c r="N13" s="8">
        <f>L13+M13</f>
        <v>95847.61</v>
      </c>
    </row>
    <row r="14" spans="1:14" ht="12.75">
      <c r="A14" s="18">
        <v>7</v>
      </c>
      <c r="B14" s="80" t="s">
        <v>53</v>
      </c>
      <c r="C14" s="80"/>
      <c r="D14" s="5">
        <v>9</v>
      </c>
      <c r="E14" s="5">
        <v>142</v>
      </c>
      <c r="F14" s="5">
        <v>4</v>
      </c>
      <c r="G14" s="5">
        <v>4</v>
      </c>
      <c r="H14" s="5">
        <v>1113.9</v>
      </c>
      <c r="I14" s="5">
        <v>1164.9</v>
      </c>
      <c r="J14" s="5">
        <v>5399</v>
      </c>
      <c r="K14" s="6">
        <v>7251.1</v>
      </c>
      <c r="L14" s="7">
        <v>90739.93</v>
      </c>
      <c r="M14" s="7">
        <v>28483.14</v>
      </c>
      <c r="N14" s="8">
        <f>L14+M14</f>
        <v>119223.06999999999</v>
      </c>
    </row>
    <row r="15" spans="1:14" ht="12.75">
      <c r="A15" s="18">
        <v>8</v>
      </c>
      <c r="B15" s="80" t="s">
        <v>54</v>
      </c>
      <c r="C15" s="80"/>
      <c r="D15" s="6">
        <v>9</v>
      </c>
      <c r="E15" s="6">
        <v>141</v>
      </c>
      <c r="F15" s="6">
        <v>4</v>
      </c>
      <c r="G15" s="6">
        <v>4</v>
      </c>
      <c r="H15" s="6">
        <v>1049.2</v>
      </c>
      <c r="I15" s="6">
        <v>1183.7</v>
      </c>
      <c r="J15" s="6">
        <v>9888</v>
      </c>
      <c r="K15" s="6">
        <v>7421.3</v>
      </c>
      <c r="L15" s="7">
        <v>92868.4</v>
      </c>
      <c r="M15" s="7">
        <v>29151.17</v>
      </c>
      <c r="N15" s="8">
        <f>L15+M15</f>
        <v>122019.56999999999</v>
      </c>
    </row>
    <row r="16" spans="1:14" ht="12.75">
      <c r="A16" s="5">
        <v>9</v>
      </c>
      <c r="B16" s="80" t="s">
        <v>38</v>
      </c>
      <c r="C16" s="80"/>
      <c r="D16" s="5">
        <v>9</v>
      </c>
      <c r="E16" s="5">
        <v>212</v>
      </c>
      <c r="F16" s="5">
        <v>6</v>
      </c>
      <c r="G16" s="5">
        <v>6</v>
      </c>
      <c r="H16" s="5">
        <v>1708.1</v>
      </c>
      <c r="I16" s="5">
        <v>1751.9</v>
      </c>
      <c r="J16" s="5">
        <v>6532</v>
      </c>
      <c r="K16" s="6">
        <v>10814.2</v>
      </c>
      <c r="L16" s="7">
        <v>136198.92</v>
      </c>
      <c r="M16" s="7">
        <v>42752.66</v>
      </c>
      <c r="N16" s="8">
        <f>L16+M16</f>
        <v>178951.58000000002</v>
      </c>
    </row>
    <row r="17" spans="1:14" ht="12.75">
      <c r="A17" s="5">
        <v>10</v>
      </c>
      <c r="B17" s="80" t="s">
        <v>39</v>
      </c>
      <c r="C17" s="80"/>
      <c r="D17" s="5">
        <v>9</v>
      </c>
      <c r="E17" s="5">
        <v>34</v>
      </c>
      <c r="F17" s="5">
        <v>1</v>
      </c>
      <c r="G17" s="5">
        <v>1</v>
      </c>
      <c r="H17" s="5">
        <v>287.2</v>
      </c>
      <c r="I17" s="5">
        <v>280.7</v>
      </c>
      <c r="J17" s="5">
        <v>2861</v>
      </c>
      <c r="K17" s="6">
        <v>1656.8</v>
      </c>
      <c r="L17" s="7">
        <v>20664.28</v>
      </c>
      <c r="M17" s="7">
        <v>6486.46</v>
      </c>
      <c r="N17" s="8">
        <f>SUM(L17:M17)</f>
        <v>27150.739999999998</v>
      </c>
    </row>
    <row r="18" spans="1:14" ht="12.75">
      <c r="A18" s="5">
        <v>11</v>
      </c>
      <c r="B18" s="80" t="s">
        <v>40</v>
      </c>
      <c r="C18" s="80"/>
      <c r="D18" s="5">
        <v>9</v>
      </c>
      <c r="E18" s="5">
        <v>214</v>
      </c>
      <c r="F18" s="5">
        <v>6</v>
      </c>
      <c r="G18" s="5">
        <v>6</v>
      </c>
      <c r="H18" s="5">
        <v>1704.9</v>
      </c>
      <c r="I18" s="5">
        <v>1746</v>
      </c>
      <c r="J18" s="5">
        <v>6792</v>
      </c>
      <c r="K18" s="6">
        <v>10901.9</v>
      </c>
      <c r="L18" s="7">
        <v>136416.63</v>
      </c>
      <c r="M18" s="7">
        <v>42821.05</v>
      </c>
      <c r="N18" s="8">
        <f>L18+M18</f>
        <v>179237.68</v>
      </c>
    </row>
    <row r="19" spans="1:14" ht="12.75">
      <c r="A19" s="5">
        <v>12</v>
      </c>
      <c r="B19" s="80" t="s">
        <v>41</v>
      </c>
      <c r="C19" s="80"/>
      <c r="D19" s="5">
        <v>9</v>
      </c>
      <c r="E19" s="5">
        <v>34</v>
      </c>
      <c r="F19" s="5">
        <v>1</v>
      </c>
      <c r="G19" s="5">
        <v>1</v>
      </c>
      <c r="H19" s="5">
        <v>294.7</v>
      </c>
      <c r="I19" s="5">
        <v>278.5</v>
      </c>
      <c r="J19" s="5">
        <v>3853</v>
      </c>
      <c r="K19" s="6">
        <v>1673.8</v>
      </c>
      <c r="L19" s="7">
        <v>20943.46</v>
      </c>
      <c r="M19" s="7">
        <v>6574.13</v>
      </c>
      <c r="N19" s="8">
        <f>L19+M19</f>
        <v>27517.59</v>
      </c>
    </row>
    <row r="20" spans="1:14" ht="12.75">
      <c r="A20" s="5">
        <v>13</v>
      </c>
      <c r="B20" s="80" t="s">
        <v>42</v>
      </c>
      <c r="C20" s="80"/>
      <c r="D20" s="5">
        <v>9</v>
      </c>
      <c r="E20" s="5">
        <v>107</v>
      </c>
      <c r="F20" s="5">
        <v>3</v>
      </c>
      <c r="G20" s="5">
        <v>3</v>
      </c>
      <c r="H20" s="5">
        <v>833.4</v>
      </c>
      <c r="I20" s="5">
        <v>889.9</v>
      </c>
      <c r="J20" s="5">
        <v>3798</v>
      </c>
      <c r="K20" s="6">
        <v>5727.1</v>
      </c>
      <c r="L20" s="7">
        <v>69650</v>
      </c>
      <c r="M20" s="7">
        <v>21863.02</v>
      </c>
      <c r="N20" s="8">
        <f>L20+M20</f>
        <v>91513.02</v>
      </c>
    </row>
    <row r="21" spans="1:14" ht="12.75">
      <c r="A21" s="10"/>
      <c r="B21" s="81" t="s">
        <v>26</v>
      </c>
      <c r="C21" s="82"/>
      <c r="D21" s="10">
        <f aca="true" t="shared" si="1" ref="D21:M21">SUM(D12:D20)</f>
        <v>81</v>
      </c>
      <c r="E21" s="10">
        <f t="shared" si="1"/>
        <v>1164</v>
      </c>
      <c r="F21" s="10">
        <f t="shared" si="1"/>
        <v>33</v>
      </c>
      <c r="G21" s="10">
        <f t="shared" si="1"/>
        <v>33</v>
      </c>
      <c r="H21" s="10">
        <f t="shared" si="1"/>
        <v>9313.900000000001</v>
      </c>
      <c r="I21" s="10">
        <f t="shared" si="1"/>
        <v>9749.800000000001</v>
      </c>
      <c r="J21" s="10">
        <f t="shared" si="1"/>
        <v>46339</v>
      </c>
      <c r="K21" s="11">
        <f t="shared" si="1"/>
        <v>60138.600000000006</v>
      </c>
      <c r="L21" s="9">
        <f t="shared" si="1"/>
        <v>736538.97</v>
      </c>
      <c r="M21" s="9">
        <f t="shared" si="1"/>
        <v>235738.84</v>
      </c>
      <c r="N21" s="12">
        <f>N12+N13+N14+N15+N16+N17+N18+N19+N20</f>
        <v>972277.8099999999</v>
      </c>
    </row>
    <row r="22" spans="1:14" ht="12.75">
      <c r="A22" s="10"/>
      <c r="B22" s="79" t="s">
        <v>43</v>
      </c>
      <c r="C22" s="79"/>
      <c r="D22" s="10">
        <f aca="true" t="shared" si="2" ref="D22:M22">D10+D21</f>
        <v>101</v>
      </c>
      <c r="E22" s="10">
        <f t="shared" si="2"/>
        <v>1633</v>
      </c>
      <c r="F22" s="10">
        <f t="shared" si="2"/>
        <v>33</v>
      </c>
      <c r="G22" s="10">
        <f t="shared" si="2"/>
        <v>63</v>
      </c>
      <c r="H22" s="10">
        <f t="shared" si="2"/>
        <v>12027.2</v>
      </c>
      <c r="I22" s="10">
        <f t="shared" si="2"/>
        <v>15266.5</v>
      </c>
      <c r="J22" s="10">
        <f t="shared" si="2"/>
        <v>67924</v>
      </c>
      <c r="K22" s="10">
        <f t="shared" si="2"/>
        <v>80888.3</v>
      </c>
      <c r="L22" s="9">
        <f t="shared" si="2"/>
        <v>918683.6799999999</v>
      </c>
      <c r="M22" s="10">
        <f t="shared" si="2"/>
        <v>294448.69</v>
      </c>
      <c r="N22" s="9">
        <f>N6+N7+N8+N9+N12+N13+N14+N15+N16+N17+N18+N19+N20</f>
        <v>1213132.3699999999</v>
      </c>
    </row>
    <row r="23" spans="1:14" ht="12.75">
      <c r="A23" s="13"/>
      <c r="B23" s="14"/>
      <c r="C23" s="14"/>
      <c r="D23" s="13"/>
      <c r="E23" s="15"/>
      <c r="F23" s="15"/>
      <c r="G23" s="15"/>
      <c r="H23" s="16"/>
      <c r="I23" s="16"/>
      <c r="J23" s="16"/>
      <c r="K23" s="16"/>
      <c r="L23" s="16"/>
      <c r="M23" s="16"/>
      <c r="N23" s="20"/>
    </row>
    <row r="24" spans="1:14" ht="12.75">
      <c r="A24" s="13"/>
      <c r="B24" s="14"/>
      <c r="C24" s="14"/>
      <c r="D24" s="13"/>
      <c r="E24" s="15"/>
      <c r="F24" s="15"/>
      <c r="G24" s="15"/>
      <c r="H24" s="16"/>
      <c r="I24" s="16"/>
      <c r="J24" s="16"/>
      <c r="K24" s="16"/>
      <c r="L24" s="16"/>
      <c r="M24" s="16"/>
      <c r="N24" s="17"/>
    </row>
    <row r="25" spans="1:14" ht="12.75">
      <c r="A25" s="1"/>
      <c r="K25" s="3"/>
      <c r="L25" s="1"/>
      <c r="M25" s="1"/>
      <c r="N25" s="1"/>
    </row>
    <row r="26" spans="1:14" ht="12.75">
      <c r="A26" s="1"/>
      <c r="B26" t="s">
        <v>44</v>
      </c>
      <c r="H26" s="3"/>
      <c r="K26" s="3"/>
      <c r="L26" s="1"/>
      <c r="M26" s="1"/>
      <c r="N26" s="1"/>
    </row>
  </sheetData>
  <sheetProtection/>
  <mergeCells count="31">
    <mergeCell ref="B6:C6"/>
    <mergeCell ref="B7:C7"/>
    <mergeCell ref="C1:M1"/>
    <mergeCell ref="A3:A4"/>
    <mergeCell ref="B3:C4"/>
    <mergeCell ref="D3:D4"/>
    <mergeCell ref="E3:E4"/>
    <mergeCell ref="F3:F4"/>
    <mergeCell ref="G3:G4"/>
    <mergeCell ref="H3:H4"/>
    <mergeCell ref="K3:K4"/>
    <mergeCell ref="L3:M3"/>
    <mergeCell ref="N3:N4"/>
    <mergeCell ref="A5:N5"/>
    <mergeCell ref="I3:I4"/>
    <mergeCell ref="J3:J4"/>
    <mergeCell ref="B8:C8"/>
    <mergeCell ref="B9:C9"/>
    <mergeCell ref="B16:C16"/>
    <mergeCell ref="B15:C15"/>
    <mergeCell ref="B14:C14"/>
    <mergeCell ref="B10:C10"/>
    <mergeCell ref="A11:N11"/>
    <mergeCell ref="B12:C12"/>
    <mergeCell ref="B13:C13"/>
    <mergeCell ref="B21:C21"/>
    <mergeCell ref="B22:C22"/>
    <mergeCell ref="B17:C17"/>
    <mergeCell ref="B18:C18"/>
    <mergeCell ref="B19:C19"/>
    <mergeCell ref="B20:C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C7">
      <selection activeCell="R36" sqref="R36"/>
    </sheetView>
  </sheetViews>
  <sheetFormatPr defaultColWidth="9.00390625" defaultRowHeight="12.75"/>
  <cols>
    <col min="1" max="1" width="3.375" style="0" customWidth="1"/>
    <col min="3" max="3" width="2.625" style="0" customWidth="1"/>
    <col min="4" max="4" width="4.125" style="0" customWidth="1"/>
    <col min="5" max="5" width="5.375" style="0" customWidth="1"/>
    <col min="6" max="6" width="4.125" style="0" customWidth="1"/>
    <col min="7" max="7" width="4.25390625" style="0" customWidth="1"/>
    <col min="8" max="8" width="8.125" style="0" customWidth="1"/>
    <col min="9" max="10" width="7.75390625" style="0" customWidth="1"/>
    <col min="12" max="12" width="11.25390625" style="0" customWidth="1"/>
    <col min="13" max="13" width="10.125" style="0" customWidth="1"/>
    <col min="14" max="14" width="11.125" style="0" customWidth="1"/>
    <col min="15" max="15" width="11.625" style="0" customWidth="1"/>
    <col min="16" max="16" width="10.875" style="0" customWidth="1"/>
    <col min="17" max="18" width="11.375" style="0" customWidth="1"/>
  </cols>
  <sheetData>
    <row r="1" spans="1:18" ht="12.75">
      <c r="A1" s="1"/>
      <c r="C1" s="92" t="s">
        <v>46</v>
      </c>
      <c r="D1" s="92"/>
      <c r="E1" s="92"/>
      <c r="F1" s="92"/>
      <c r="G1" s="92"/>
      <c r="H1" s="92"/>
      <c r="I1" s="92"/>
      <c r="J1" s="93"/>
      <c r="K1" s="93"/>
      <c r="L1" s="93"/>
      <c r="M1" s="93"/>
      <c r="N1" s="1"/>
      <c r="O1" s="1"/>
      <c r="P1" s="1"/>
      <c r="R1" s="2"/>
    </row>
    <row r="2" spans="1:18" ht="12.75">
      <c r="A2" s="1"/>
      <c r="C2" s="1"/>
      <c r="D2" s="1"/>
      <c r="E2" s="1"/>
      <c r="F2" s="1"/>
      <c r="G2" s="1"/>
      <c r="H2" s="1"/>
      <c r="I2" s="1"/>
      <c r="J2" s="1"/>
      <c r="K2" s="3"/>
      <c r="L2" s="1"/>
      <c r="M2" s="1"/>
      <c r="N2" s="1"/>
      <c r="O2" s="1"/>
      <c r="P2" s="1"/>
      <c r="R2" s="2"/>
    </row>
    <row r="3" spans="1:18" ht="12.75">
      <c r="A3" s="94" t="s">
        <v>1</v>
      </c>
      <c r="B3" s="95" t="s">
        <v>2</v>
      </c>
      <c r="C3" s="95"/>
      <c r="D3" s="96" t="s">
        <v>3</v>
      </c>
      <c r="E3" s="97" t="s">
        <v>4</v>
      </c>
      <c r="F3" s="97" t="s">
        <v>5</v>
      </c>
      <c r="G3" s="97" t="s">
        <v>6</v>
      </c>
      <c r="H3" s="97" t="s">
        <v>7</v>
      </c>
      <c r="I3" s="97" t="s">
        <v>8</v>
      </c>
      <c r="J3" s="97" t="s">
        <v>9</v>
      </c>
      <c r="K3" s="86" t="s">
        <v>10</v>
      </c>
      <c r="L3" s="87" t="s">
        <v>11</v>
      </c>
      <c r="M3" s="88"/>
      <c r="N3" s="89" t="s">
        <v>12</v>
      </c>
      <c r="O3" s="91" t="s">
        <v>13</v>
      </c>
      <c r="P3" s="91"/>
      <c r="Q3" s="77" t="s">
        <v>14</v>
      </c>
      <c r="R3" s="77" t="s">
        <v>15</v>
      </c>
    </row>
    <row r="4" spans="1:18" ht="65.25" customHeight="1">
      <c r="A4" s="94"/>
      <c r="B4" s="95"/>
      <c r="C4" s="95"/>
      <c r="D4" s="96"/>
      <c r="E4" s="97"/>
      <c r="F4" s="97"/>
      <c r="G4" s="97"/>
      <c r="H4" s="97"/>
      <c r="I4" s="97"/>
      <c r="J4" s="97"/>
      <c r="K4" s="86"/>
      <c r="L4" s="4" t="s">
        <v>16</v>
      </c>
      <c r="M4" s="4" t="s">
        <v>17</v>
      </c>
      <c r="N4" s="90"/>
      <c r="O4" s="4" t="s">
        <v>16</v>
      </c>
      <c r="P4" s="4" t="s">
        <v>17</v>
      </c>
      <c r="Q4" s="78"/>
      <c r="R4" s="78"/>
    </row>
    <row r="5" spans="1:18" ht="12.75">
      <c r="A5" s="83" t="s">
        <v>18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5"/>
    </row>
    <row r="6" spans="1:18" ht="12.75">
      <c r="A6" s="5">
        <v>1</v>
      </c>
      <c r="B6" s="80" t="s">
        <v>19</v>
      </c>
      <c r="C6" s="80"/>
      <c r="D6" s="5">
        <v>5</v>
      </c>
      <c r="E6" s="5">
        <v>77</v>
      </c>
      <c r="F6" s="5"/>
      <c r="G6" s="5">
        <v>5</v>
      </c>
      <c r="H6" s="5">
        <v>445.8</v>
      </c>
      <c r="I6" s="5">
        <v>964.3</v>
      </c>
      <c r="J6" s="5">
        <v>4343</v>
      </c>
      <c r="K6" s="6">
        <v>3540.8</v>
      </c>
      <c r="L6" s="7">
        <v>61649.76</v>
      </c>
      <c r="M6" s="7">
        <v>19871.38</v>
      </c>
      <c r="N6" s="8">
        <f aca="true" t="shared" si="0" ref="N6:N12">L6+M6</f>
        <v>81521.14</v>
      </c>
      <c r="O6" s="8">
        <v>51245.05</v>
      </c>
      <c r="P6" s="8">
        <v>16517.66</v>
      </c>
      <c r="Q6" s="9">
        <f aca="true" t="shared" si="1" ref="Q6:Q12">SUM(O6:P6)</f>
        <v>67762.71</v>
      </c>
      <c r="R6" s="9">
        <f aca="true" t="shared" si="2" ref="R6:R13">Q6-N6</f>
        <v>-13758.429999999993</v>
      </c>
    </row>
    <row r="7" spans="1:18" ht="12.75">
      <c r="A7" s="5">
        <v>2</v>
      </c>
      <c r="B7" s="80" t="s">
        <v>20</v>
      </c>
      <c r="C7" s="80"/>
      <c r="D7" s="5">
        <v>5</v>
      </c>
      <c r="E7" s="5">
        <v>50</v>
      </c>
      <c r="F7" s="5"/>
      <c r="G7" s="5">
        <v>3</v>
      </c>
      <c r="H7" s="5">
        <v>305.7</v>
      </c>
      <c r="I7" s="5">
        <v>620.2</v>
      </c>
      <c r="J7" s="5">
        <v>3263</v>
      </c>
      <c r="K7" s="6">
        <v>2291.9</v>
      </c>
      <c r="L7" s="7">
        <v>40247.56</v>
      </c>
      <c r="M7" s="7">
        <v>12972.86</v>
      </c>
      <c r="N7" s="8">
        <f t="shared" si="0"/>
        <v>53220.42</v>
      </c>
      <c r="O7" s="8">
        <v>32249.02</v>
      </c>
      <c r="P7" s="8">
        <v>10394.72</v>
      </c>
      <c r="Q7" s="9">
        <f t="shared" si="1"/>
        <v>42643.74</v>
      </c>
      <c r="R7" s="9">
        <f t="shared" si="2"/>
        <v>-10576.68</v>
      </c>
    </row>
    <row r="8" spans="1:18" ht="12.75">
      <c r="A8" s="5">
        <v>3</v>
      </c>
      <c r="B8" s="80" t="s">
        <v>21</v>
      </c>
      <c r="C8" s="80"/>
      <c r="D8" s="5">
        <v>5</v>
      </c>
      <c r="E8" s="5">
        <v>100</v>
      </c>
      <c r="F8" s="5"/>
      <c r="G8" s="5">
        <v>6</v>
      </c>
      <c r="H8" s="5">
        <v>620</v>
      </c>
      <c r="I8" s="5">
        <v>1231.7</v>
      </c>
      <c r="J8" s="5">
        <v>5382</v>
      </c>
      <c r="K8" s="6">
        <v>4552.2</v>
      </c>
      <c r="L8" s="7">
        <v>80115.64</v>
      </c>
      <c r="M8" s="7">
        <v>25823.24</v>
      </c>
      <c r="N8" s="8">
        <f t="shared" si="0"/>
        <v>105938.88</v>
      </c>
      <c r="O8" s="8">
        <v>62304.2</v>
      </c>
      <c r="P8" s="8">
        <v>20082.17</v>
      </c>
      <c r="Q8" s="9">
        <f t="shared" si="1"/>
        <v>82386.37</v>
      </c>
      <c r="R8" s="9">
        <f t="shared" si="2"/>
        <v>-23552.51000000001</v>
      </c>
    </row>
    <row r="9" spans="1:18" ht="12.75">
      <c r="A9" s="5">
        <v>4</v>
      </c>
      <c r="B9" s="80" t="s">
        <v>22</v>
      </c>
      <c r="C9" s="80"/>
      <c r="D9" s="5">
        <v>5</v>
      </c>
      <c r="E9" s="5">
        <v>109</v>
      </c>
      <c r="F9" s="5"/>
      <c r="G9" s="5">
        <v>7</v>
      </c>
      <c r="H9" s="5">
        <v>679.8</v>
      </c>
      <c r="I9" s="5">
        <v>1296.8</v>
      </c>
      <c r="J9" s="5">
        <v>4094</v>
      </c>
      <c r="K9" s="6">
        <v>4821.2</v>
      </c>
      <c r="L9" s="7">
        <v>85013.16</v>
      </c>
      <c r="M9" s="7">
        <v>27401.92</v>
      </c>
      <c r="N9" s="8">
        <f t="shared" si="0"/>
        <v>112415.08</v>
      </c>
      <c r="O9" s="8">
        <v>71312.47</v>
      </c>
      <c r="P9" s="8">
        <v>22985.84</v>
      </c>
      <c r="Q9" s="9">
        <f t="shared" si="1"/>
        <v>94298.31</v>
      </c>
      <c r="R9" s="9">
        <f t="shared" si="2"/>
        <v>-18116.770000000004</v>
      </c>
    </row>
    <row r="10" spans="1:18" ht="12.75">
      <c r="A10" s="5">
        <v>5</v>
      </c>
      <c r="B10" s="80" t="s">
        <v>23</v>
      </c>
      <c r="C10" s="80"/>
      <c r="D10" s="5">
        <v>5</v>
      </c>
      <c r="E10" s="5">
        <v>139</v>
      </c>
      <c r="F10" s="5"/>
      <c r="G10" s="5">
        <v>9</v>
      </c>
      <c r="H10" s="5">
        <v>788.1</v>
      </c>
      <c r="I10" s="5">
        <v>1632.4</v>
      </c>
      <c r="J10" s="5">
        <v>6410</v>
      </c>
      <c r="K10" s="6">
        <v>6145.2</v>
      </c>
      <c r="L10" s="7">
        <v>108039.68</v>
      </c>
      <c r="M10" s="7">
        <v>34823.9</v>
      </c>
      <c r="N10" s="8">
        <f t="shared" si="0"/>
        <v>142863.58</v>
      </c>
      <c r="O10" s="8">
        <v>89727.66</v>
      </c>
      <c r="P10" s="8">
        <v>28921.48</v>
      </c>
      <c r="Q10" s="9">
        <f t="shared" si="1"/>
        <v>118649.14</v>
      </c>
      <c r="R10" s="9">
        <f t="shared" si="2"/>
        <v>-24214.439999999988</v>
      </c>
    </row>
    <row r="11" spans="1:18" ht="12.75">
      <c r="A11" s="5">
        <v>6</v>
      </c>
      <c r="B11" s="80" t="s">
        <v>24</v>
      </c>
      <c r="C11" s="80"/>
      <c r="D11" s="5">
        <v>5</v>
      </c>
      <c r="E11" s="5">
        <v>110</v>
      </c>
      <c r="F11" s="5"/>
      <c r="G11" s="5">
        <v>7</v>
      </c>
      <c r="H11" s="5">
        <v>609.7</v>
      </c>
      <c r="I11" s="5">
        <v>1282.6</v>
      </c>
      <c r="J11" s="5">
        <v>5832</v>
      </c>
      <c r="K11" s="6">
        <v>4850.2</v>
      </c>
      <c r="L11" s="7">
        <v>84693.74</v>
      </c>
      <c r="M11" s="7">
        <v>27298.94</v>
      </c>
      <c r="N11" s="8">
        <f t="shared" si="0"/>
        <v>111992.68000000001</v>
      </c>
      <c r="O11" s="8">
        <v>64262.04</v>
      </c>
      <c r="P11" s="8">
        <v>20713.29</v>
      </c>
      <c r="Q11" s="9">
        <f t="shared" si="1"/>
        <v>84975.33</v>
      </c>
      <c r="R11" s="9">
        <f t="shared" si="2"/>
        <v>-27017.350000000006</v>
      </c>
    </row>
    <row r="12" spans="1:18" ht="12.75">
      <c r="A12" s="5">
        <v>7</v>
      </c>
      <c r="B12" s="80" t="s">
        <v>25</v>
      </c>
      <c r="C12" s="80"/>
      <c r="D12" s="5">
        <v>5</v>
      </c>
      <c r="E12" s="5">
        <v>110</v>
      </c>
      <c r="F12" s="5"/>
      <c r="G12" s="5">
        <v>7</v>
      </c>
      <c r="H12" s="5">
        <v>629.7</v>
      </c>
      <c r="I12" s="5">
        <v>1308.7</v>
      </c>
      <c r="J12" s="5">
        <v>5214</v>
      </c>
      <c r="K12" s="6">
        <v>4827.8</v>
      </c>
      <c r="L12" s="7">
        <v>84749.83</v>
      </c>
      <c r="M12" s="7">
        <v>27317.12</v>
      </c>
      <c r="N12" s="8">
        <f t="shared" si="0"/>
        <v>112066.95</v>
      </c>
      <c r="O12" s="8">
        <v>68916.15</v>
      </c>
      <c r="P12" s="8">
        <v>22213.5</v>
      </c>
      <c r="Q12" s="9">
        <f t="shared" si="1"/>
        <v>91129.65</v>
      </c>
      <c r="R12" s="9">
        <f t="shared" si="2"/>
        <v>-20937.300000000003</v>
      </c>
    </row>
    <row r="13" spans="1:18" ht="12.75">
      <c r="A13" s="10"/>
      <c r="B13" s="81" t="s">
        <v>26</v>
      </c>
      <c r="C13" s="82"/>
      <c r="D13" s="10">
        <f>SUM(D6:D12)</f>
        <v>35</v>
      </c>
      <c r="E13" s="10">
        <f>SUM(E6:E12)</f>
        <v>695</v>
      </c>
      <c r="F13" s="10"/>
      <c r="G13" s="10">
        <f aca="true" t="shared" si="3" ref="G13:Q13">SUM(G6:G12)</f>
        <v>44</v>
      </c>
      <c r="H13" s="10">
        <f t="shared" si="3"/>
        <v>4078.8</v>
      </c>
      <c r="I13" s="10">
        <f t="shared" si="3"/>
        <v>8336.7</v>
      </c>
      <c r="J13" s="10">
        <f t="shared" si="3"/>
        <v>34538</v>
      </c>
      <c r="K13" s="11">
        <f t="shared" si="3"/>
        <v>31029.300000000003</v>
      </c>
      <c r="L13" s="9">
        <f t="shared" si="3"/>
        <v>544509.37</v>
      </c>
      <c r="M13" s="9">
        <f t="shared" si="3"/>
        <v>175509.36000000002</v>
      </c>
      <c r="N13" s="12">
        <f t="shared" si="3"/>
        <v>720018.73</v>
      </c>
      <c r="O13" s="12">
        <f t="shared" si="3"/>
        <v>440016.58999999997</v>
      </c>
      <c r="P13" s="12">
        <f t="shared" si="3"/>
        <v>141828.66</v>
      </c>
      <c r="Q13" s="9">
        <f t="shared" si="3"/>
        <v>581845.25</v>
      </c>
      <c r="R13" s="9">
        <f t="shared" si="2"/>
        <v>-138173.47999999998</v>
      </c>
    </row>
    <row r="14" spans="1:18" ht="12.75">
      <c r="A14" s="83" t="s">
        <v>27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5"/>
    </row>
    <row r="15" spans="1:18" ht="12.75">
      <c r="A15" s="5">
        <v>8</v>
      </c>
      <c r="B15" s="80" t="s">
        <v>28</v>
      </c>
      <c r="C15" s="80"/>
      <c r="D15" s="5">
        <v>9</v>
      </c>
      <c r="E15" s="5">
        <v>172</v>
      </c>
      <c r="F15" s="5">
        <v>5</v>
      </c>
      <c r="G15" s="5">
        <v>5</v>
      </c>
      <c r="H15" s="5">
        <v>1343.8</v>
      </c>
      <c r="I15" s="5">
        <v>1470.1</v>
      </c>
      <c r="J15" s="5">
        <v>4278</v>
      </c>
      <c r="K15" s="6">
        <v>8863</v>
      </c>
      <c r="L15" s="7">
        <v>192220.04</v>
      </c>
      <c r="M15" s="7">
        <v>69418.89</v>
      </c>
      <c r="N15" s="8">
        <f>L15+M15</f>
        <v>261638.93</v>
      </c>
      <c r="O15" s="8">
        <v>162380.86</v>
      </c>
      <c r="P15" s="8">
        <v>58642.68</v>
      </c>
      <c r="Q15" s="9">
        <f aca="true" t="shared" si="4" ref="Q15:Q30">SUM(O15:P15)</f>
        <v>221023.53999999998</v>
      </c>
      <c r="R15" s="9">
        <f aca="true" t="shared" si="5" ref="R15:R31">Q15-N15</f>
        <v>-40615.390000000014</v>
      </c>
    </row>
    <row r="16" spans="1:18" ht="12.75">
      <c r="A16" s="5">
        <v>9</v>
      </c>
      <c r="B16" s="80" t="s">
        <v>29</v>
      </c>
      <c r="C16" s="80"/>
      <c r="D16" s="5">
        <v>10</v>
      </c>
      <c r="E16" s="5">
        <v>78</v>
      </c>
      <c r="F16" s="5">
        <v>2</v>
      </c>
      <c r="G16" s="5">
        <v>2</v>
      </c>
      <c r="H16" s="5">
        <v>623.5</v>
      </c>
      <c r="I16" s="5">
        <v>600.5</v>
      </c>
      <c r="J16" s="5">
        <v>1933</v>
      </c>
      <c r="K16" s="6">
        <v>4147.2</v>
      </c>
      <c r="L16" s="7">
        <v>103961.02</v>
      </c>
      <c r="M16" s="7">
        <v>32633.24</v>
      </c>
      <c r="N16" s="8">
        <f>L16+M16</f>
        <v>136594.26</v>
      </c>
      <c r="O16" s="8">
        <v>97773.49</v>
      </c>
      <c r="P16" s="8">
        <v>30690.98</v>
      </c>
      <c r="Q16" s="9">
        <f t="shared" si="4"/>
        <v>128464.47</v>
      </c>
      <c r="R16" s="9">
        <f t="shared" si="5"/>
        <v>-8129.790000000008</v>
      </c>
    </row>
    <row r="17" spans="1:18" ht="12.75">
      <c r="A17" s="5">
        <v>10</v>
      </c>
      <c r="B17" s="80" t="s">
        <v>30</v>
      </c>
      <c r="C17" s="80"/>
      <c r="D17" s="5">
        <v>9</v>
      </c>
      <c r="E17" s="5">
        <v>142</v>
      </c>
      <c r="F17" s="5">
        <v>4</v>
      </c>
      <c r="G17" s="5">
        <v>4</v>
      </c>
      <c r="H17" s="5">
        <v>1082.2</v>
      </c>
      <c r="I17" s="5">
        <v>1170.7</v>
      </c>
      <c r="J17" s="5">
        <v>5957</v>
      </c>
      <c r="K17" s="6">
        <v>7266.7</v>
      </c>
      <c r="L17" s="7">
        <v>181868.08</v>
      </c>
      <c r="M17" s="7">
        <v>57088.28</v>
      </c>
      <c r="N17" s="8">
        <f>L17+M17</f>
        <v>238956.36</v>
      </c>
      <c r="O17" s="8">
        <v>147054.08</v>
      </c>
      <c r="P17" s="8">
        <v>46160.18</v>
      </c>
      <c r="Q17" s="9">
        <f t="shared" si="4"/>
        <v>193214.25999999998</v>
      </c>
      <c r="R17" s="9">
        <f t="shared" si="5"/>
        <v>-45742.100000000006</v>
      </c>
    </row>
    <row r="18" spans="1:18" ht="12.75">
      <c r="A18" s="5">
        <v>11</v>
      </c>
      <c r="B18" s="80" t="s">
        <v>31</v>
      </c>
      <c r="C18" s="80"/>
      <c r="D18" s="5">
        <v>9</v>
      </c>
      <c r="E18" s="5">
        <v>34</v>
      </c>
      <c r="F18" s="5">
        <v>1</v>
      </c>
      <c r="G18" s="5">
        <v>1</v>
      </c>
      <c r="H18" s="5">
        <v>670.3</v>
      </c>
      <c r="I18" s="5">
        <v>280.2</v>
      </c>
      <c r="J18" s="5">
        <v>3515</v>
      </c>
      <c r="K18" s="6">
        <v>1640.1</v>
      </c>
      <c r="L18" s="7">
        <v>41265.88</v>
      </c>
      <c r="M18" s="7">
        <v>12953.32</v>
      </c>
      <c r="N18" s="8">
        <f>SUM(L18:M18)</f>
        <v>54219.2</v>
      </c>
      <c r="O18" s="8">
        <v>31888.57</v>
      </c>
      <c r="P18" s="8">
        <v>10009.79</v>
      </c>
      <c r="Q18" s="9">
        <f t="shared" si="4"/>
        <v>41898.36</v>
      </c>
      <c r="R18" s="9">
        <f t="shared" si="5"/>
        <v>-12320.839999999997</v>
      </c>
    </row>
    <row r="19" spans="1:18" ht="12.75">
      <c r="A19" s="5">
        <v>12</v>
      </c>
      <c r="B19" s="80" t="s">
        <v>32</v>
      </c>
      <c r="C19" s="80"/>
      <c r="D19" s="5">
        <v>9</v>
      </c>
      <c r="E19" s="5">
        <v>213</v>
      </c>
      <c r="F19" s="5">
        <v>6</v>
      </c>
      <c r="G19" s="5">
        <v>6</v>
      </c>
      <c r="H19" s="5">
        <v>1637.3</v>
      </c>
      <c r="I19" s="5">
        <v>1762.4</v>
      </c>
      <c r="J19" s="5">
        <v>7777</v>
      </c>
      <c r="K19" s="6">
        <v>10994.5</v>
      </c>
      <c r="L19" s="7">
        <v>275559.18</v>
      </c>
      <c r="M19" s="7">
        <v>86497.39</v>
      </c>
      <c r="N19" s="8">
        <f aca="true" t="shared" si="6" ref="N19:N25">L19+M19</f>
        <v>362056.57</v>
      </c>
      <c r="O19" s="8">
        <v>203790.46</v>
      </c>
      <c r="P19" s="8">
        <v>63969.36</v>
      </c>
      <c r="Q19" s="9">
        <f t="shared" si="4"/>
        <v>267759.82</v>
      </c>
      <c r="R19" s="9">
        <f t="shared" si="5"/>
        <v>-94296.75</v>
      </c>
    </row>
    <row r="20" spans="1:18" ht="12.75">
      <c r="A20" s="5">
        <v>13</v>
      </c>
      <c r="B20" s="80" t="s">
        <v>33</v>
      </c>
      <c r="C20" s="80"/>
      <c r="D20" s="5">
        <v>9</v>
      </c>
      <c r="E20" s="5">
        <v>35</v>
      </c>
      <c r="F20" s="5">
        <v>1</v>
      </c>
      <c r="G20" s="5">
        <v>1</v>
      </c>
      <c r="H20" s="5">
        <v>282.4</v>
      </c>
      <c r="I20" s="5">
        <v>281.6</v>
      </c>
      <c r="J20" s="5">
        <v>2272</v>
      </c>
      <c r="K20" s="6">
        <v>1789.8</v>
      </c>
      <c r="L20" s="7">
        <v>43214.04</v>
      </c>
      <c r="M20" s="7">
        <v>13564.86</v>
      </c>
      <c r="N20" s="8">
        <f t="shared" si="6"/>
        <v>56778.9</v>
      </c>
      <c r="O20" s="8">
        <v>45934.7</v>
      </c>
      <c r="P20" s="8">
        <v>14418.87</v>
      </c>
      <c r="Q20" s="9">
        <f t="shared" si="4"/>
        <v>60353.57</v>
      </c>
      <c r="R20" s="9">
        <f t="shared" si="5"/>
        <v>3574.6699999999983</v>
      </c>
    </row>
    <row r="21" spans="1:18" ht="12.75">
      <c r="A21" s="5">
        <v>14</v>
      </c>
      <c r="B21" s="80" t="s">
        <v>34</v>
      </c>
      <c r="C21" s="80"/>
      <c r="D21" s="5">
        <v>9</v>
      </c>
      <c r="E21" s="5">
        <v>177</v>
      </c>
      <c r="F21" s="5">
        <v>5</v>
      </c>
      <c r="G21" s="5">
        <v>5</v>
      </c>
      <c r="H21" s="5">
        <v>1360.2</v>
      </c>
      <c r="I21" s="5">
        <v>1464.1</v>
      </c>
      <c r="J21" s="5">
        <v>9415</v>
      </c>
      <c r="K21" s="6">
        <v>9174.2</v>
      </c>
      <c r="L21" s="7">
        <v>230463.02</v>
      </c>
      <c r="M21" s="7">
        <v>72342.16</v>
      </c>
      <c r="N21" s="8">
        <f t="shared" si="6"/>
        <v>302805.18</v>
      </c>
      <c r="O21" s="8">
        <v>178937.36</v>
      </c>
      <c r="P21" s="8">
        <v>56168.29</v>
      </c>
      <c r="Q21" s="9">
        <f t="shared" si="4"/>
        <v>235105.65</v>
      </c>
      <c r="R21" s="9">
        <f t="shared" si="5"/>
        <v>-67699.53</v>
      </c>
    </row>
    <row r="22" spans="1:18" ht="12.75">
      <c r="A22" s="5">
        <v>15</v>
      </c>
      <c r="B22" s="80" t="s">
        <v>35</v>
      </c>
      <c r="C22" s="80"/>
      <c r="D22" s="5">
        <v>9</v>
      </c>
      <c r="E22" s="5">
        <v>213</v>
      </c>
      <c r="F22" s="5">
        <v>6</v>
      </c>
      <c r="G22" s="5">
        <v>6</v>
      </c>
      <c r="H22" s="5">
        <v>1665.5</v>
      </c>
      <c r="I22" s="5">
        <v>1760.1</v>
      </c>
      <c r="J22" s="5">
        <v>9999</v>
      </c>
      <c r="K22" s="6">
        <v>11065</v>
      </c>
      <c r="L22" s="7">
        <v>277265.32</v>
      </c>
      <c r="M22" s="7">
        <v>87033.28</v>
      </c>
      <c r="N22" s="8">
        <f t="shared" si="6"/>
        <v>364298.6</v>
      </c>
      <c r="O22" s="8">
        <v>213037.21</v>
      </c>
      <c r="P22" s="8">
        <v>66872.15</v>
      </c>
      <c r="Q22" s="9">
        <f t="shared" si="4"/>
        <v>279909.36</v>
      </c>
      <c r="R22" s="9">
        <f t="shared" si="5"/>
        <v>-84389.23999999999</v>
      </c>
    </row>
    <row r="23" spans="1:18" ht="12.75">
      <c r="A23" s="5">
        <v>16</v>
      </c>
      <c r="B23" s="80" t="s">
        <v>36</v>
      </c>
      <c r="C23" s="80"/>
      <c r="D23" s="5">
        <v>9</v>
      </c>
      <c r="E23" s="5">
        <v>213</v>
      </c>
      <c r="F23" s="5">
        <v>6</v>
      </c>
      <c r="G23" s="5">
        <v>6</v>
      </c>
      <c r="H23" s="5">
        <v>1684.1</v>
      </c>
      <c r="I23" s="5">
        <v>1750.2</v>
      </c>
      <c r="J23" s="5">
        <v>7454</v>
      </c>
      <c r="K23" s="6">
        <v>10840.2</v>
      </c>
      <c r="L23" s="7">
        <v>271275.8</v>
      </c>
      <c r="M23" s="7">
        <v>85153.02</v>
      </c>
      <c r="N23" s="8">
        <f t="shared" si="6"/>
        <v>356428.82</v>
      </c>
      <c r="O23" s="8">
        <v>233477.63</v>
      </c>
      <c r="P23" s="8">
        <v>73288.24</v>
      </c>
      <c r="Q23" s="9">
        <f t="shared" si="4"/>
        <v>306765.87</v>
      </c>
      <c r="R23" s="9">
        <f t="shared" si="5"/>
        <v>-49662.95000000001</v>
      </c>
    </row>
    <row r="24" spans="1:18" ht="12.75">
      <c r="A24" s="5">
        <v>17</v>
      </c>
      <c r="B24" s="80" t="s">
        <v>37</v>
      </c>
      <c r="C24" s="80"/>
      <c r="D24" s="5">
        <v>9</v>
      </c>
      <c r="E24" s="5">
        <v>142</v>
      </c>
      <c r="F24" s="5">
        <v>4</v>
      </c>
      <c r="G24" s="5">
        <v>4</v>
      </c>
      <c r="H24" s="5">
        <v>946.4</v>
      </c>
      <c r="I24" s="5">
        <v>1159.4</v>
      </c>
      <c r="J24" s="5">
        <v>6191</v>
      </c>
      <c r="K24" s="6">
        <v>7173.2</v>
      </c>
      <c r="L24" s="7">
        <v>180434.48</v>
      </c>
      <c r="M24" s="7">
        <v>56638.25</v>
      </c>
      <c r="N24" s="8">
        <f t="shared" si="6"/>
        <v>237072.73</v>
      </c>
      <c r="O24" s="8">
        <v>125192.22</v>
      </c>
      <c r="P24" s="8">
        <v>39297.75</v>
      </c>
      <c r="Q24" s="9">
        <f t="shared" si="4"/>
        <v>164489.97</v>
      </c>
      <c r="R24" s="9">
        <f t="shared" si="5"/>
        <v>-72582.76000000001</v>
      </c>
    </row>
    <row r="25" spans="1:18" ht="12.75">
      <c r="A25" s="5">
        <v>18</v>
      </c>
      <c r="B25" s="80" t="s">
        <v>38</v>
      </c>
      <c r="C25" s="80"/>
      <c r="D25" s="5">
        <v>9</v>
      </c>
      <c r="E25" s="5">
        <v>212</v>
      </c>
      <c r="F25" s="5">
        <v>6</v>
      </c>
      <c r="G25" s="5">
        <v>6</v>
      </c>
      <c r="H25" s="5">
        <v>1708.1</v>
      </c>
      <c r="I25" s="5">
        <v>1751.9</v>
      </c>
      <c r="J25" s="5">
        <v>6532</v>
      </c>
      <c r="K25" s="6">
        <v>10814.2</v>
      </c>
      <c r="L25" s="7">
        <v>272382.81</v>
      </c>
      <c r="M25" s="7">
        <v>85500.61</v>
      </c>
      <c r="N25" s="8">
        <f t="shared" si="6"/>
        <v>357883.42</v>
      </c>
      <c r="O25" s="8">
        <v>210721.07</v>
      </c>
      <c r="P25" s="8">
        <v>66145.07</v>
      </c>
      <c r="Q25" s="9">
        <f t="shared" si="4"/>
        <v>276866.14</v>
      </c>
      <c r="R25" s="9">
        <f t="shared" si="5"/>
        <v>-81017.27999999997</v>
      </c>
    </row>
    <row r="26" spans="1:18" ht="12.75">
      <c r="A26" s="5">
        <v>19</v>
      </c>
      <c r="B26" s="80" t="s">
        <v>39</v>
      </c>
      <c r="C26" s="80"/>
      <c r="D26" s="5">
        <v>9</v>
      </c>
      <c r="E26" s="5">
        <v>34</v>
      </c>
      <c r="F26" s="5">
        <v>1</v>
      </c>
      <c r="G26" s="5">
        <v>1</v>
      </c>
      <c r="H26" s="5">
        <v>287.2</v>
      </c>
      <c r="I26" s="5">
        <v>280.7</v>
      </c>
      <c r="J26" s="5">
        <v>2861</v>
      </c>
      <c r="K26" s="6">
        <v>1656.8</v>
      </c>
      <c r="L26" s="7">
        <v>41328.56</v>
      </c>
      <c r="M26" s="7">
        <v>12972.92</v>
      </c>
      <c r="N26" s="8">
        <f>SUM(L26:M26)</f>
        <v>54301.479999999996</v>
      </c>
      <c r="O26" s="8">
        <v>33838.67</v>
      </c>
      <c r="P26" s="8">
        <v>10621.86</v>
      </c>
      <c r="Q26" s="9">
        <f t="shared" si="4"/>
        <v>44460.53</v>
      </c>
      <c r="R26" s="9">
        <f t="shared" si="5"/>
        <v>-9840.949999999997</v>
      </c>
    </row>
    <row r="27" spans="1:18" ht="12.75">
      <c r="A27" s="5">
        <v>20</v>
      </c>
      <c r="B27" s="80" t="s">
        <v>40</v>
      </c>
      <c r="C27" s="80"/>
      <c r="D27" s="5">
        <v>9</v>
      </c>
      <c r="E27" s="5">
        <v>214</v>
      </c>
      <c r="F27" s="5">
        <v>6</v>
      </c>
      <c r="G27" s="5">
        <v>6</v>
      </c>
      <c r="H27" s="5">
        <v>1704.9</v>
      </c>
      <c r="I27" s="5">
        <v>1746</v>
      </c>
      <c r="J27" s="5">
        <v>6792</v>
      </c>
      <c r="K27" s="6">
        <v>10901.9</v>
      </c>
      <c r="L27" s="7">
        <v>272833.26</v>
      </c>
      <c r="M27" s="7">
        <v>85642.1</v>
      </c>
      <c r="N27" s="8">
        <f>L27+M27</f>
        <v>358475.36</v>
      </c>
      <c r="O27" s="8">
        <v>244071.29</v>
      </c>
      <c r="P27" s="8">
        <v>76613.75</v>
      </c>
      <c r="Q27" s="9">
        <f t="shared" si="4"/>
        <v>320685.04000000004</v>
      </c>
      <c r="R27" s="9">
        <f t="shared" si="5"/>
        <v>-37790.31999999995</v>
      </c>
    </row>
    <row r="28" spans="1:18" ht="12.75">
      <c r="A28" s="5">
        <v>21</v>
      </c>
      <c r="B28" s="80" t="s">
        <v>41</v>
      </c>
      <c r="C28" s="80"/>
      <c r="D28" s="5">
        <v>9</v>
      </c>
      <c r="E28" s="5">
        <v>34</v>
      </c>
      <c r="F28" s="5">
        <v>1</v>
      </c>
      <c r="G28" s="5">
        <v>1</v>
      </c>
      <c r="H28" s="5">
        <v>294.7</v>
      </c>
      <c r="I28" s="5">
        <v>278.5</v>
      </c>
      <c r="J28" s="5">
        <v>3853</v>
      </c>
      <c r="K28" s="6">
        <v>1673.8</v>
      </c>
      <c r="L28" s="7">
        <v>41886.92</v>
      </c>
      <c r="M28" s="7">
        <v>13148.26</v>
      </c>
      <c r="N28" s="8">
        <f>L28+M28</f>
        <v>55035.18</v>
      </c>
      <c r="O28" s="8">
        <v>27110.2</v>
      </c>
      <c r="P28" s="8">
        <v>8509.86</v>
      </c>
      <c r="Q28" s="9">
        <f t="shared" si="4"/>
        <v>35620.06</v>
      </c>
      <c r="R28" s="9">
        <f t="shared" si="5"/>
        <v>-19415.120000000003</v>
      </c>
    </row>
    <row r="29" spans="1:18" ht="12.75">
      <c r="A29" s="5">
        <v>22</v>
      </c>
      <c r="B29" s="80" t="s">
        <v>42</v>
      </c>
      <c r="C29" s="80"/>
      <c r="D29" s="5">
        <v>9</v>
      </c>
      <c r="E29" s="5">
        <v>107</v>
      </c>
      <c r="F29" s="5">
        <v>3</v>
      </c>
      <c r="G29" s="5">
        <v>3</v>
      </c>
      <c r="H29" s="5">
        <v>833.4</v>
      </c>
      <c r="I29" s="5">
        <v>889.9</v>
      </c>
      <c r="J29" s="5">
        <v>3798</v>
      </c>
      <c r="K29" s="6">
        <v>5727.1</v>
      </c>
      <c r="L29" s="7">
        <v>139300</v>
      </c>
      <c r="M29" s="7">
        <v>43726.04</v>
      </c>
      <c r="N29" s="8">
        <f>L29+M29</f>
        <v>183026.04</v>
      </c>
      <c r="O29" s="8">
        <v>132122.8</v>
      </c>
      <c r="P29" s="8">
        <v>41473.13</v>
      </c>
      <c r="Q29" s="9">
        <f t="shared" si="4"/>
        <v>173595.93</v>
      </c>
      <c r="R29" s="9">
        <f t="shared" si="5"/>
        <v>-9430.110000000015</v>
      </c>
    </row>
    <row r="30" spans="1:18" ht="12.75">
      <c r="A30" s="10"/>
      <c r="B30" s="81" t="s">
        <v>26</v>
      </c>
      <c r="C30" s="82"/>
      <c r="D30" s="10">
        <f aca="true" t="shared" si="7" ref="D30:P30">SUM(D15:D29)</f>
        <v>136</v>
      </c>
      <c r="E30" s="10">
        <f t="shared" si="7"/>
        <v>2020</v>
      </c>
      <c r="F30" s="10">
        <f t="shared" si="7"/>
        <v>57</v>
      </c>
      <c r="G30" s="10">
        <f t="shared" si="7"/>
        <v>57</v>
      </c>
      <c r="H30" s="10">
        <f t="shared" si="7"/>
        <v>16124.000000000002</v>
      </c>
      <c r="I30" s="10">
        <f t="shared" si="7"/>
        <v>16646.300000000003</v>
      </c>
      <c r="J30" s="10">
        <f t="shared" si="7"/>
        <v>82627</v>
      </c>
      <c r="K30" s="11">
        <f t="shared" si="7"/>
        <v>103727.7</v>
      </c>
      <c r="L30" s="9">
        <f t="shared" si="7"/>
        <v>2565258.41</v>
      </c>
      <c r="M30" s="9">
        <f t="shared" si="7"/>
        <v>814312.6200000001</v>
      </c>
      <c r="N30" s="12">
        <f t="shared" si="7"/>
        <v>3379571.03</v>
      </c>
      <c r="O30" s="12">
        <f t="shared" si="7"/>
        <v>2087330.6099999999</v>
      </c>
      <c r="P30" s="12">
        <f t="shared" si="7"/>
        <v>662881.9599999998</v>
      </c>
      <c r="Q30" s="9">
        <f t="shared" si="4"/>
        <v>2750212.57</v>
      </c>
      <c r="R30" s="9">
        <f t="shared" si="5"/>
        <v>-629358.46</v>
      </c>
    </row>
    <row r="31" spans="1:18" ht="12.75">
      <c r="A31" s="10"/>
      <c r="B31" s="79" t="s">
        <v>43</v>
      </c>
      <c r="C31" s="79"/>
      <c r="D31" s="10">
        <f aca="true" t="shared" si="8" ref="D31:Q31">D13+D30</f>
        <v>171</v>
      </c>
      <c r="E31" s="10">
        <f t="shared" si="8"/>
        <v>2715</v>
      </c>
      <c r="F31" s="10">
        <f t="shared" si="8"/>
        <v>57</v>
      </c>
      <c r="G31" s="10">
        <f t="shared" si="8"/>
        <v>101</v>
      </c>
      <c r="H31" s="10">
        <f t="shared" si="8"/>
        <v>20202.800000000003</v>
      </c>
      <c r="I31" s="10">
        <f t="shared" si="8"/>
        <v>24983.000000000004</v>
      </c>
      <c r="J31" s="10">
        <f t="shared" si="8"/>
        <v>117165</v>
      </c>
      <c r="K31" s="10">
        <f t="shared" si="8"/>
        <v>134757</v>
      </c>
      <c r="L31" s="9">
        <f t="shared" si="8"/>
        <v>3109767.7800000003</v>
      </c>
      <c r="M31" s="10">
        <f t="shared" si="8"/>
        <v>989821.9800000001</v>
      </c>
      <c r="N31" s="9">
        <f t="shared" si="8"/>
        <v>4099589.76</v>
      </c>
      <c r="O31" s="9">
        <f t="shared" si="8"/>
        <v>2527347.1999999997</v>
      </c>
      <c r="P31" s="10">
        <f t="shared" si="8"/>
        <v>804710.6199999999</v>
      </c>
      <c r="Q31" s="9">
        <f t="shared" si="8"/>
        <v>3332057.82</v>
      </c>
      <c r="R31" s="9">
        <f t="shared" si="5"/>
        <v>-767531.94</v>
      </c>
    </row>
    <row r="32" spans="1:18" ht="12.75">
      <c r="A32" s="13"/>
      <c r="B32" s="14"/>
      <c r="C32" s="14"/>
      <c r="D32" s="13"/>
      <c r="E32" s="15"/>
      <c r="F32" s="15"/>
      <c r="G32" s="15"/>
      <c r="H32" s="16"/>
      <c r="I32" s="16"/>
      <c r="J32" s="16"/>
      <c r="K32" s="16"/>
      <c r="L32" s="16"/>
      <c r="M32" s="16"/>
      <c r="N32" s="17"/>
      <c r="O32" s="17"/>
      <c r="P32" s="17"/>
      <c r="Q32" s="17"/>
      <c r="R32" s="17"/>
    </row>
    <row r="33" spans="1:18" ht="12.75">
      <c r="A33" s="13"/>
      <c r="B33" s="14"/>
      <c r="C33" s="14"/>
      <c r="D33" s="13"/>
      <c r="E33" s="15"/>
      <c r="F33" s="15"/>
      <c r="G33" s="15"/>
      <c r="H33" s="16"/>
      <c r="I33" s="16"/>
      <c r="J33" s="16"/>
      <c r="K33" s="16"/>
      <c r="L33" s="16"/>
      <c r="M33" s="16"/>
      <c r="N33" s="17"/>
      <c r="O33" s="17"/>
      <c r="P33" s="17"/>
      <c r="Q33" s="17"/>
      <c r="R33" s="17"/>
    </row>
    <row r="34" spans="1:16" ht="12.75">
      <c r="A34" s="1"/>
      <c r="K34" s="3"/>
      <c r="L34" s="1"/>
      <c r="M34" s="1"/>
      <c r="N34" s="1"/>
      <c r="O34" s="1"/>
      <c r="P34" s="1"/>
    </row>
    <row r="35" spans="1:16" ht="12.75">
      <c r="A35" s="1"/>
      <c r="B35" t="s">
        <v>44</v>
      </c>
      <c r="H35" s="3"/>
      <c r="K35" s="3"/>
      <c r="L35" s="1"/>
      <c r="M35" s="1"/>
      <c r="N35" s="1"/>
      <c r="O35" s="1"/>
      <c r="P35" s="1"/>
    </row>
  </sheetData>
  <sheetProtection/>
  <mergeCells count="43">
    <mergeCell ref="B23:C23"/>
    <mergeCell ref="B24:C24"/>
    <mergeCell ref="B25:C25"/>
    <mergeCell ref="B26:C26"/>
    <mergeCell ref="B31:C31"/>
    <mergeCell ref="B27:C27"/>
    <mergeCell ref="B28:C28"/>
    <mergeCell ref="B29:C29"/>
    <mergeCell ref="B30:C30"/>
    <mergeCell ref="B15:C15"/>
    <mergeCell ref="B16:C16"/>
    <mergeCell ref="B17:C17"/>
    <mergeCell ref="B18:C18"/>
    <mergeCell ref="B19:C19"/>
    <mergeCell ref="B20:C20"/>
    <mergeCell ref="B21:C21"/>
    <mergeCell ref="B22:C22"/>
    <mergeCell ref="B7:C7"/>
    <mergeCell ref="B8:C8"/>
    <mergeCell ref="B9:C9"/>
    <mergeCell ref="B10:C10"/>
    <mergeCell ref="B11:C11"/>
    <mergeCell ref="B12:C12"/>
    <mergeCell ref="B13:C13"/>
    <mergeCell ref="A14:R14"/>
    <mergeCell ref="Q3:Q4"/>
    <mergeCell ref="R3:R4"/>
    <mergeCell ref="A5:R5"/>
    <mergeCell ref="B6:C6"/>
    <mergeCell ref="K3:K4"/>
    <mergeCell ref="L3:M3"/>
    <mergeCell ref="N3:N4"/>
    <mergeCell ref="O3:P3"/>
    <mergeCell ref="C1:M1"/>
    <mergeCell ref="A3:A4"/>
    <mergeCell ref="B3:C4"/>
    <mergeCell ref="D3:D4"/>
    <mergeCell ref="E3:E4"/>
    <mergeCell ref="F3:F4"/>
    <mergeCell ref="G3:G4"/>
    <mergeCell ref="H3:H4"/>
    <mergeCell ref="I3:I4"/>
    <mergeCell ref="J3:J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C1">
      <selection activeCell="Q33" sqref="Q33"/>
    </sheetView>
  </sheetViews>
  <sheetFormatPr defaultColWidth="9.00390625" defaultRowHeight="12.75"/>
  <cols>
    <col min="1" max="1" width="3.375" style="0" customWidth="1"/>
    <col min="3" max="3" width="2.625" style="0" customWidth="1"/>
    <col min="4" max="4" width="4.125" style="0" customWidth="1"/>
    <col min="5" max="5" width="5.375" style="0" customWidth="1"/>
    <col min="6" max="6" width="4.125" style="0" customWidth="1"/>
    <col min="7" max="7" width="4.25390625" style="0" customWidth="1"/>
    <col min="8" max="8" width="8.125" style="0" customWidth="1"/>
    <col min="9" max="10" width="7.75390625" style="0" customWidth="1"/>
    <col min="12" max="12" width="11.25390625" style="0" customWidth="1"/>
    <col min="13" max="13" width="10.125" style="0" customWidth="1"/>
    <col min="14" max="14" width="11.125" style="0" customWidth="1"/>
    <col min="15" max="15" width="11.625" style="0" customWidth="1"/>
    <col min="16" max="16" width="10.875" style="0" customWidth="1"/>
    <col min="17" max="18" width="11.375" style="0" customWidth="1"/>
  </cols>
  <sheetData>
    <row r="1" spans="1:18" ht="12.75">
      <c r="A1" s="1"/>
      <c r="C1" s="92" t="s">
        <v>47</v>
      </c>
      <c r="D1" s="92"/>
      <c r="E1" s="92"/>
      <c r="F1" s="92"/>
      <c r="G1" s="92"/>
      <c r="H1" s="92"/>
      <c r="I1" s="92"/>
      <c r="J1" s="93"/>
      <c r="K1" s="93"/>
      <c r="L1" s="93"/>
      <c r="M1" s="93"/>
      <c r="N1" s="1"/>
      <c r="O1" s="1"/>
      <c r="P1" s="1"/>
      <c r="R1" s="2"/>
    </row>
    <row r="2" spans="1:18" ht="12.75">
      <c r="A2" s="1"/>
      <c r="C2" s="1"/>
      <c r="D2" s="1"/>
      <c r="E2" s="1"/>
      <c r="F2" s="1"/>
      <c r="G2" s="1"/>
      <c r="H2" s="1"/>
      <c r="I2" s="1"/>
      <c r="J2" s="1"/>
      <c r="K2" s="3"/>
      <c r="L2" s="1"/>
      <c r="M2" s="1"/>
      <c r="N2" s="1"/>
      <c r="O2" s="1"/>
      <c r="P2" s="1"/>
      <c r="R2" s="2"/>
    </row>
    <row r="3" spans="1:18" ht="12.75">
      <c r="A3" s="94" t="s">
        <v>1</v>
      </c>
      <c r="B3" s="95" t="s">
        <v>2</v>
      </c>
      <c r="C3" s="95"/>
      <c r="D3" s="96" t="s">
        <v>3</v>
      </c>
      <c r="E3" s="97" t="s">
        <v>4</v>
      </c>
      <c r="F3" s="97" t="s">
        <v>5</v>
      </c>
      <c r="G3" s="97" t="s">
        <v>6</v>
      </c>
      <c r="H3" s="97" t="s">
        <v>7</v>
      </c>
      <c r="I3" s="97" t="s">
        <v>8</v>
      </c>
      <c r="J3" s="97" t="s">
        <v>9</v>
      </c>
      <c r="K3" s="86" t="s">
        <v>10</v>
      </c>
      <c r="L3" s="87" t="s">
        <v>11</v>
      </c>
      <c r="M3" s="88"/>
      <c r="N3" s="89" t="s">
        <v>12</v>
      </c>
      <c r="O3" s="91" t="s">
        <v>13</v>
      </c>
      <c r="P3" s="91"/>
      <c r="Q3" s="77" t="s">
        <v>14</v>
      </c>
      <c r="R3" s="77" t="s">
        <v>15</v>
      </c>
    </row>
    <row r="4" spans="1:18" ht="65.25" customHeight="1">
      <c r="A4" s="94"/>
      <c r="B4" s="95"/>
      <c r="C4" s="95"/>
      <c r="D4" s="96"/>
      <c r="E4" s="97"/>
      <c r="F4" s="97"/>
      <c r="G4" s="97"/>
      <c r="H4" s="97"/>
      <c r="I4" s="97"/>
      <c r="J4" s="97"/>
      <c r="K4" s="86"/>
      <c r="L4" s="4" t="s">
        <v>16</v>
      </c>
      <c r="M4" s="4" t="s">
        <v>17</v>
      </c>
      <c r="N4" s="90"/>
      <c r="O4" s="4" t="s">
        <v>16</v>
      </c>
      <c r="P4" s="4" t="s">
        <v>17</v>
      </c>
      <c r="Q4" s="78"/>
      <c r="R4" s="78"/>
    </row>
    <row r="5" spans="1:18" ht="12.75">
      <c r="A5" s="83" t="s">
        <v>18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5"/>
    </row>
    <row r="6" spans="1:18" ht="12.75">
      <c r="A6" s="5">
        <v>1</v>
      </c>
      <c r="B6" s="80" t="s">
        <v>19</v>
      </c>
      <c r="C6" s="80"/>
      <c r="D6" s="5">
        <v>5</v>
      </c>
      <c r="E6" s="5">
        <v>77</v>
      </c>
      <c r="F6" s="5"/>
      <c r="G6" s="5">
        <v>5</v>
      </c>
      <c r="H6" s="5">
        <v>445.8</v>
      </c>
      <c r="I6" s="5">
        <v>964.3</v>
      </c>
      <c r="J6" s="5">
        <v>4343</v>
      </c>
      <c r="K6" s="6">
        <v>3540.8</v>
      </c>
      <c r="L6" s="7">
        <v>92474.64</v>
      </c>
      <c r="M6" s="7">
        <v>29807.07</v>
      </c>
      <c r="N6" s="8">
        <f aca="true" t="shared" si="0" ref="N6:N12">L6+M6</f>
        <v>122281.70999999999</v>
      </c>
      <c r="O6" s="8">
        <v>83281.92</v>
      </c>
      <c r="P6" s="8">
        <v>26844.01</v>
      </c>
      <c r="Q6" s="9">
        <f aca="true" t="shared" si="1" ref="Q6:Q12">SUM(O6:P6)</f>
        <v>110125.93</v>
      </c>
      <c r="R6" s="9">
        <f aca="true" t="shared" si="2" ref="R6:R13">Q6-N6</f>
        <v>-12155.779999999999</v>
      </c>
    </row>
    <row r="7" spans="1:18" ht="12.75">
      <c r="A7" s="5">
        <v>2</v>
      </c>
      <c r="B7" s="80" t="s">
        <v>20</v>
      </c>
      <c r="C7" s="80"/>
      <c r="D7" s="5">
        <v>5</v>
      </c>
      <c r="E7" s="5">
        <v>50</v>
      </c>
      <c r="F7" s="5"/>
      <c r="G7" s="5">
        <v>3</v>
      </c>
      <c r="H7" s="5">
        <v>305.7</v>
      </c>
      <c r="I7" s="5">
        <v>620.2</v>
      </c>
      <c r="J7" s="5">
        <v>3263</v>
      </c>
      <c r="K7" s="6">
        <v>2291.9</v>
      </c>
      <c r="L7" s="7">
        <v>60372.22</v>
      </c>
      <c r="M7" s="7">
        <v>19459.57</v>
      </c>
      <c r="N7" s="8">
        <f t="shared" si="0"/>
        <v>79831.79000000001</v>
      </c>
      <c r="O7" s="8">
        <v>53853.97</v>
      </c>
      <c r="P7" s="8">
        <v>17358.57</v>
      </c>
      <c r="Q7" s="9">
        <f t="shared" si="1"/>
        <v>71212.54000000001</v>
      </c>
      <c r="R7" s="9">
        <f t="shared" si="2"/>
        <v>-8619.25</v>
      </c>
    </row>
    <row r="8" spans="1:18" ht="12.75">
      <c r="A8" s="5">
        <v>3</v>
      </c>
      <c r="B8" s="80" t="s">
        <v>21</v>
      </c>
      <c r="C8" s="80"/>
      <c r="D8" s="5">
        <v>5</v>
      </c>
      <c r="E8" s="5">
        <v>100</v>
      </c>
      <c r="F8" s="5"/>
      <c r="G8" s="5">
        <v>6</v>
      </c>
      <c r="H8" s="5">
        <v>620</v>
      </c>
      <c r="I8" s="5">
        <v>1231.7</v>
      </c>
      <c r="J8" s="5">
        <v>5382</v>
      </c>
      <c r="K8" s="6">
        <v>4552.2</v>
      </c>
      <c r="L8" s="7">
        <v>120227.03</v>
      </c>
      <c r="M8" s="7">
        <v>38752.12</v>
      </c>
      <c r="N8" s="8">
        <f t="shared" si="0"/>
        <v>158979.15</v>
      </c>
      <c r="O8" s="8">
        <v>105901.47</v>
      </c>
      <c r="P8" s="8">
        <v>34134.64</v>
      </c>
      <c r="Q8" s="9">
        <f t="shared" si="1"/>
        <v>140036.11</v>
      </c>
      <c r="R8" s="9">
        <f t="shared" si="2"/>
        <v>-18943.040000000008</v>
      </c>
    </row>
    <row r="9" spans="1:18" ht="12.75">
      <c r="A9" s="5">
        <v>4</v>
      </c>
      <c r="B9" s="80" t="s">
        <v>22</v>
      </c>
      <c r="C9" s="80"/>
      <c r="D9" s="5">
        <v>5</v>
      </c>
      <c r="E9" s="5">
        <v>109</v>
      </c>
      <c r="F9" s="5"/>
      <c r="G9" s="5">
        <v>7</v>
      </c>
      <c r="H9" s="5">
        <v>679.8</v>
      </c>
      <c r="I9" s="5">
        <v>1296.8</v>
      </c>
      <c r="J9" s="5">
        <v>4094</v>
      </c>
      <c r="K9" s="6">
        <v>4821.2</v>
      </c>
      <c r="L9" s="7">
        <v>127521.5</v>
      </c>
      <c r="M9" s="7">
        <v>41103.45</v>
      </c>
      <c r="N9" s="8">
        <f t="shared" si="0"/>
        <v>168624.95</v>
      </c>
      <c r="O9" s="8">
        <v>119645.75</v>
      </c>
      <c r="P9" s="8">
        <v>38564.89</v>
      </c>
      <c r="Q9" s="9">
        <f t="shared" si="1"/>
        <v>158210.64</v>
      </c>
      <c r="R9" s="9">
        <f t="shared" si="2"/>
        <v>-10414.309999999998</v>
      </c>
    </row>
    <row r="10" spans="1:18" ht="12.75">
      <c r="A10" s="5">
        <v>5</v>
      </c>
      <c r="B10" s="80" t="s">
        <v>23</v>
      </c>
      <c r="C10" s="80"/>
      <c r="D10" s="5">
        <v>5</v>
      </c>
      <c r="E10" s="5">
        <v>139</v>
      </c>
      <c r="F10" s="5"/>
      <c r="G10" s="5">
        <v>9</v>
      </c>
      <c r="H10" s="5">
        <v>788.1</v>
      </c>
      <c r="I10" s="5">
        <v>1632.4</v>
      </c>
      <c r="J10" s="5">
        <v>6410</v>
      </c>
      <c r="K10" s="6">
        <v>6145.2</v>
      </c>
      <c r="L10" s="7">
        <v>162060.4</v>
      </c>
      <c r="M10" s="7">
        <v>52236.13</v>
      </c>
      <c r="N10" s="8">
        <f t="shared" si="0"/>
        <v>214296.53</v>
      </c>
      <c r="O10" s="8">
        <v>149700.37</v>
      </c>
      <c r="P10" s="8">
        <v>48252.18</v>
      </c>
      <c r="Q10" s="9">
        <f>SUM(O10:P10)</f>
        <v>197952.55</v>
      </c>
      <c r="R10" s="9">
        <f t="shared" si="2"/>
        <v>-16343.98000000001</v>
      </c>
    </row>
    <row r="11" spans="1:18" ht="12.75">
      <c r="A11" s="5">
        <v>6</v>
      </c>
      <c r="B11" s="80" t="s">
        <v>24</v>
      </c>
      <c r="C11" s="80"/>
      <c r="D11" s="5">
        <v>5</v>
      </c>
      <c r="E11" s="5">
        <v>110</v>
      </c>
      <c r="F11" s="5"/>
      <c r="G11" s="5">
        <v>7</v>
      </c>
      <c r="H11" s="5">
        <v>609.7</v>
      </c>
      <c r="I11" s="5">
        <v>1282.6</v>
      </c>
      <c r="J11" s="5">
        <v>5832</v>
      </c>
      <c r="K11" s="6">
        <v>4850.2</v>
      </c>
      <c r="L11" s="7">
        <v>127040.61</v>
      </c>
      <c r="M11" s="7">
        <v>40948.41</v>
      </c>
      <c r="N11" s="8">
        <f t="shared" si="0"/>
        <v>167989.02000000002</v>
      </c>
      <c r="O11" s="8">
        <v>106101.12</v>
      </c>
      <c r="P11" s="8">
        <v>34199.08</v>
      </c>
      <c r="Q11" s="9">
        <f t="shared" si="1"/>
        <v>140300.2</v>
      </c>
      <c r="R11" s="9">
        <f t="shared" si="2"/>
        <v>-27688.820000000007</v>
      </c>
    </row>
    <row r="12" spans="1:18" ht="12.75">
      <c r="A12" s="5">
        <v>7</v>
      </c>
      <c r="B12" s="80" t="s">
        <v>25</v>
      </c>
      <c r="C12" s="80"/>
      <c r="D12" s="5">
        <v>5</v>
      </c>
      <c r="E12" s="5">
        <v>110</v>
      </c>
      <c r="F12" s="5"/>
      <c r="G12" s="5">
        <v>7</v>
      </c>
      <c r="H12" s="5">
        <v>629.7</v>
      </c>
      <c r="I12" s="5">
        <v>1308.7</v>
      </c>
      <c r="J12" s="5">
        <v>5214</v>
      </c>
      <c r="K12" s="6">
        <v>4827.8</v>
      </c>
      <c r="L12" s="7">
        <v>127086.99</v>
      </c>
      <c r="M12" s="7">
        <v>40963.51</v>
      </c>
      <c r="N12" s="8">
        <f t="shared" si="0"/>
        <v>168050.5</v>
      </c>
      <c r="O12" s="8">
        <v>116002.87</v>
      </c>
      <c r="P12" s="8">
        <v>37390.81</v>
      </c>
      <c r="Q12" s="9">
        <f t="shared" si="1"/>
        <v>153393.68</v>
      </c>
      <c r="R12" s="9">
        <f t="shared" si="2"/>
        <v>-14656.820000000007</v>
      </c>
    </row>
    <row r="13" spans="1:18" ht="12.75">
      <c r="A13" s="10"/>
      <c r="B13" s="81" t="s">
        <v>26</v>
      </c>
      <c r="C13" s="82"/>
      <c r="D13" s="10">
        <f>SUM(D6:D12)</f>
        <v>35</v>
      </c>
      <c r="E13" s="10">
        <f>SUM(E6:E12)</f>
        <v>695</v>
      </c>
      <c r="F13" s="10"/>
      <c r="G13" s="10">
        <f aca="true" t="shared" si="3" ref="G13:Q13">SUM(G6:G12)</f>
        <v>44</v>
      </c>
      <c r="H13" s="10">
        <f t="shared" si="3"/>
        <v>4078.8</v>
      </c>
      <c r="I13" s="10">
        <f t="shared" si="3"/>
        <v>8336.7</v>
      </c>
      <c r="J13" s="10">
        <f t="shared" si="3"/>
        <v>34538</v>
      </c>
      <c r="K13" s="11">
        <f t="shared" si="3"/>
        <v>31029.300000000003</v>
      </c>
      <c r="L13" s="9">
        <f t="shared" si="3"/>
        <v>816783.39</v>
      </c>
      <c r="M13" s="9">
        <f t="shared" si="3"/>
        <v>263270.26</v>
      </c>
      <c r="N13" s="12">
        <f t="shared" si="3"/>
        <v>1080053.6500000001</v>
      </c>
      <c r="O13" s="12">
        <f t="shared" si="3"/>
        <v>734487.47</v>
      </c>
      <c r="P13" s="12">
        <f t="shared" si="3"/>
        <v>236744.18</v>
      </c>
      <c r="Q13" s="9">
        <f t="shared" si="3"/>
        <v>971231.6499999999</v>
      </c>
      <c r="R13" s="9">
        <f t="shared" si="2"/>
        <v>-108822.00000000023</v>
      </c>
    </row>
    <row r="14" spans="1:18" ht="12.75">
      <c r="A14" s="83" t="s">
        <v>27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5"/>
    </row>
    <row r="15" spans="1:18" ht="12.75">
      <c r="A15" s="5">
        <v>8</v>
      </c>
      <c r="B15" s="80" t="s">
        <v>28</v>
      </c>
      <c r="C15" s="80"/>
      <c r="D15" s="5">
        <v>9</v>
      </c>
      <c r="E15" s="5">
        <v>172</v>
      </c>
      <c r="F15" s="5">
        <v>5</v>
      </c>
      <c r="G15" s="5">
        <v>5</v>
      </c>
      <c r="H15" s="5">
        <v>1343.8</v>
      </c>
      <c r="I15" s="5">
        <v>1470.1</v>
      </c>
      <c r="J15" s="5">
        <v>4278</v>
      </c>
      <c r="K15" s="6">
        <v>8863</v>
      </c>
      <c r="L15" s="7">
        <v>288331.79</v>
      </c>
      <c r="M15" s="7">
        <v>104129.12</v>
      </c>
      <c r="N15" s="8">
        <f>L15+M15</f>
        <v>392460.91</v>
      </c>
      <c r="O15" s="8">
        <v>270218.62</v>
      </c>
      <c r="P15" s="8">
        <v>97587.67</v>
      </c>
      <c r="Q15" s="9">
        <f aca="true" t="shared" si="4" ref="Q15:Q30">SUM(O15:P15)</f>
        <v>367806.29</v>
      </c>
      <c r="R15" s="9">
        <f aca="true" t="shared" si="5" ref="R15:R31">Q15-N15</f>
        <v>-24654.619999999995</v>
      </c>
    </row>
    <row r="16" spans="1:18" ht="12.75">
      <c r="A16" s="5">
        <v>9</v>
      </c>
      <c r="B16" s="80" t="s">
        <v>29</v>
      </c>
      <c r="C16" s="80"/>
      <c r="D16" s="5">
        <v>10</v>
      </c>
      <c r="E16" s="5">
        <v>78</v>
      </c>
      <c r="F16" s="5">
        <v>2</v>
      </c>
      <c r="G16" s="5">
        <v>2</v>
      </c>
      <c r="H16" s="5">
        <v>623.5</v>
      </c>
      <c r="I16" s="5">
        <v>600.5</v>
      </c>
      <c r="J16" s="5">
        <v>1933</v>
      </c>
      <c r="K16" s="6">
        <v>4147.2</v>
      </c>
      <c r="L16" s="7">
        <v>155941.53</v>
      </c>
      <c r="M16" s="7">
        <v>48949.86</v>
      </c>
      <c r="N16" s="8">
        <f>L16+M16</f>
        <v>204891.39</v>
      </c>
      <c r="O16" s="8">
        <v>159039.61</v>
      </c>
      <c r="P16" s="8">
        <v>49922.35</v>
      </c>
      <c r="Q16" s="9">
        <f t="shared" si="4"/>
        <v>208961.96</v>
      </c>
      <c r="R16" s="9">
        <f t="shared" si="5"/>
        <v>4070.569999999978</v>
      </c>
    </row>
    <row r="17" spans="1:18" ht="12.75">
      <c r="A17" s="5">
        <v>10</v>
      </c>
      <c r="B17" s="80" t="s">
        <v>30</v>
      </c>
      <c r="C17" s="80"/>
      <c r="D17" s="5">
        <v>9</v>
      </c>
      <c r="E17" s="5">
        <v>142</v>
      </c>
      <c r="F17" s="5">
        <v>4</v>
      </c>
      <c r="G17" s="5">
        <v>4</v>
      </c>
      <c r="H17" s="5">
        <v>1082.2</v>
      </c>
      <c r="I17" s="5">
        <v>1170.7</v>
      </c>
      <c r="J17" s="5">
        <v>5957</v>
      </c>
      <c r="K17" s="6">
        <v>7266.7</v>
      </c>
      <c r="L17" s="7">
        <v>272803.37</v>
      </c>
      <c r="M17" s="7">
        <v>85632.82</v>
      </c>
      <c r="N17" s="8">
        <f>L17+M17</f>
        <v>358436.19</v>
      </c>
      <c r="O17" s="8">
        <v>248151.83</v>
      </c>
      <c r="P17" s="8">
        <v>77894.71</v>
      </c>
      <c r="Q17" s="9">
        <f t="shared" si="4"/>
        <v>326046.54</v>
      </c>
      <c r="R17" s="9">
        <f t="shared" si="5"/>
        <v>-32389.650000000023</v>
      </c>
    </row>
    <row r="18" spans="1:18" ht="12.75">
      <c r="A18" s="5">
        <v>11</v>
      </c>
      <c r="B18" s="80" t="s">
        <v>31</v>
      </c>
      <c r="C18" s="80"/>
      <c r="D18" s="5">
        <v>9</v>
      </c>
      <c r="E18" s="5">
        <v>34</v>
      </c>
      <c r="F18" s="5">
        <v>1</v>
      </c>
      <c r="G18" s="5">
        <v>1</v>
      </c>
      <c r="H18" s="5">
        <v>670.3</v>
      </c>
      <c r="I18" s="5">
        <v>280.2</v>
      </c>
      <c r="J18" s="5">
        <v>3515</v>
      </c>
      <c r="K18" s="6">
        <v>1640.1</v>
      </c>
      <c r="L18" s="7">
        <v>61898.82</v>
      </c>
      <c r="M18" s="7">
        <v>19429.98</v>
      </c>
      <c r="N18" s="8">
        <f>SUM(L18:M18)</f>
        <v>81328.8</v>
      </c>
      <c r="O18" s="8">
        <v>54538.47</v>
      </c>
      <c r="P18" s="8">
        <v>17119.57</v>
      </c>
      <c r="Q18" s="9">
        <f t="shared" si="4"/>
        <v>71658.04000000001</v>
      </c>
      <c r="R18" s="9">
        <f t="shared" si="5"/>
        <v>-9670.759999999995</v>
      </c>
    </row>
    <row r="19" spans="1:18" ht="12.75">
      <c r="A19" s="5">
        <v>12</v>
      </c>
      <c r="B19" s="80" t="s">
        <v>32</v>
      </c>
      <c r="C19" s="80"/>
      <c r="D19" s="5">
        <v>9</v>
      </c>
      <c r="E19" s="5">
        <v>213</v>
      </c>
      <c r="F19" s="5">
        <v>6</v>
      </c>
      <c r="G19" s="5">
        <v>6</v>
      </c>
      <c r="H19" s="5">
        <v>1637.3</v>
      </c>
      <c r="I19" s="5">
        <v>1762.4</v>
      </c>
      <c r="J19" s="5">
        <v>7777</v>
      </c>
      <c r="K19" s="6">
        <v>10994.5</v>
      </c>
      <c r="L19" s="7">
        <v>413340.65</v>
      </c>
      <c r="M19" s="7">
        <v>129746.67</v>
      </c>
      <c r="N19" s="8">
        <f aca="true" t="shared" si="6" ref="N19:N25">L19+M19</f>
        <v>543087.3200000001</v>
      </c>
      <c r="O19" s="8">
        <v>350716.85</v>
      </c>
      <c r="P19" s="8">
        <v>110089.21</v>
      </c>
      <c r="Q19" s="9">
        <f t="shared" si="4"/>
        <v>460806.06</v>
      </c>
      <c r="R19" s="9">
        <f t="shared" si="5"/>
        <v>-82281.26000000007</v>
      </c>
    </row>
    <row r="20" spans="1:18" ht="12.75">
      <c r="A20" s="5">
        <v>13</v>
      </c>
      <c r="B20" s="80" t="s">
        <v>33</v>
      </c>
      <c r="C20" s="80"/>
      <c r="D20" s="5">
        <v>9</v>
      </c>
      <c r="E20" s="5">
        <v>35</v>
      </c>
      <c r="F20" s="5">
        <v>1</v>
      </c>
      <c r="G20" s="5">
        <v>1</v>
      </c>
      <c r="H20" s="5">
        <v>282.4</v>
      </c>
      <c r="I20" s="5">
        <v>281.6</v>
      </c>
      <c r="J20" s="5">
        <v>2272</v>
      </c>
      <c r="K20" s="6">
        <v>1789.8</v>
      </c>
      <c r="L20" s="7">
        <v>64821.06</v>
      </c>
      <c r="M20" s="7">
        <v>20347.29</v>
      </c>
      <c r="N20" s="8">
        <f t="shared" si="6"/>
        <v>85168.35</v>
      </c>
      <c r="O20" s="8">
        <v>68909.55</v>
      </c>
      <c r="P20" s="8">
        <v>21630.66</v>
      </c>
      <c r="Q20" s="9">
        <f t="shared" si="4"/>
        <v>90540.21</v>
      </c>
      <c r="R20" s="9">
        <f t="shared" si="5"/>
        <v>5371.860000000001</v>
      </c>
    </row>
    <row r="21" spans="1:18" ht="12.75">
      <c r="A21" s="5">
        <v>14</v>
      </c>
      <c r="B21" s="80" t="s">
        <v>34</v>
      </c>
      <c r="C21" s="80"/>
      <c r="D21" s="5">
        <v>9</v>
      </c>
      <c r="E21" s="5">
        <v>177</v>
      </c>
      <c r="F21" s="5">
        <v>5</v>
      </c>
      <c r="G21" s="5">
        <v>5</v>
      </c>
      <c r="H21" s="5">
        <v>1360.2</v>
      </c>
      <c r="I21" s="5">
        <v>1464.1</v>
      </c>
      <c r="J21" s="5">
        <v>9415</v>
      </c>
      <c r="K21" s="6">
        <v>9174.2</v>
      </c>
      <c r="L21" s="7">
        <v>345694.53</v>
      </c>
      <c r="M21" s="7">
        <v>108513.24</v>
      </c>
      <c r="N21" s="8">
        <f t="shared" si="6"/>
        <v>454207.77</v>
      </c>
      <c r="O21" s="8">
        <v>309781.83</v>
      </c>
      <c r="P21" s="8">
        <v>97240.27</v>
      </c>
      <c r="Q21" s="9">
        <f t="shared" si="4"/>
        <v>407022.10000000003</v>
      </c>
      <c r="R21" s="9">
        <f t="shared" si="5"/>
        <v>-47185.669999999984</v>
      </c>
    </row>
    <row r="22" spans="1:18" ht="12.75">
      <c r="A22" s="5">
        <v>15</v>
      </c>
      <c r="B22" s="80" t="s">
        <v>35</v>
      </c>
      <c r="C22" s="80"/>
      <c r="D22" s="5">
        <v>9</v>
      </c>
      <c r="E22" s="5">
        <v>213</v>
      </c>
      <c r="F22" s="5">
        <v>6</v>
      </c>
      <c r="G22" s="5">
        <v>6</v>
      </c>
      <c r="H22" s="5">
        <v>1665.5</v>
      </c>
      <c r="I22" s="5">
        <v>1760.1</v>
      </c>
      <c r="J22" s="5">
        <v>9999</v>
      </c>
      <c r="K22" s="6">
        <v>11065</v>
      </c>
      <c r="L22" s="7">
        <v>415897.98</v>
      </c>
      <c r="M22" s="7">
        <v>130549.92</v>
      </c>
      <c r="N22" s="8">
        <f t="shared" si="6"/>
        <v>546447.9</v>
      </c>
      <c r="O22" s="8">
        <v>360784.56</v>
      </c>
      <c r="P22" s="8">
        <v>113249.88</v>
      </c>
      <c r="Q22" s="9">
        <f t="shared" si="4"/>
        <v>474034.44</v>
      </c>
      <c r="R22" s="9">
        <f t="shared" si="5"/>
        <v>-72413.46000000002</v>
      </c>
    </row>
    <row r="23" spans="1:18" ht="12.75">
      <c r="A23" s="5">
        <v>16</v>
      </c>
      <c r="B23" s="80" t="s">
        <v>36</v>
      </c>
      <c r="C23" s="80"/>
      <c r="D23" s="5">
        <v>9</v>
      </c>
      <c r="E23" s="5">
        <v>213</v>
      </c>
      <c r="F23" s="5">
        <v>6</v>
      </c>
      <c r="G23" s="5">
        <v>6</v>
      </c>
      <c r="H23" s="5">
        <v>1684.1</v>
      </c>
      <c r="I23" s="5">
        <v>1750.2</v>
      </c>
      <c r="J23" s="5">
        <v>7454</v>
      </c>
      <c r="K23" s="6">
        <v>10840.2</v>
      </c>
      <c r="L23" s="7">
        <v>406913.7</v>
      </c>
      <c r="M23" s="7">
        <v>127729.53</v>
      </c>
      <c r="N23" s="8">
        <f t="shared" si="6"/>
        <v>534643.23</v>
      </c>
      <c r="O23" s="8">
        <v>383794.7</v>
      </c>
      <c r="P23" s="8">
        <v>120472.51</v>
      </c>
      <c r="Q23" s="9">
        <f t="shared" si="4"/>
        <v>504267.21</v>
      </c>
      <c r="R23" s="9">
        <f t="shared" si="5"/>
        <v>-30376.01999999996</v>
      </c>
    </row>
    <row r="24" spans="1:18" ht="12.75">
      <c r="A24" s="5">
        <v>17</v>
      </c>
      <c r="B24" s="80" t="s">
        <v>37</v>
      </c>
      <c r="C24" s="80"/>
      <c r="D24" s="5">
        <v>9</v>
      </c>
      <c r="E24" s="5">
        <v>142</v>
      </c>
      <c r="F24" s="5">
        <v>4</v>
      </c>
      <c r="G24" s="5">
        <v>4</v>
      </c>
      <c r="H24" s="5">
        <v>946.4</v>
      </c>
      <c r="I24" s="5">
        <v>1159.4</v>
      </c>
      <c r="J24" s="5">
        <v>6191</v>
      </c>
      <c r="K24" s="6">
        <v>7173.2</v>
      </c>
      <c r="L24" s="7">
        <v>270649.84</v>
      </c>
      <c r="M24" s="7">
        <v>84956.79</v>
      </c>
      <c r="N24" s="8">
        <f t="shared" si="6"/>
        <v>355606.63</v>
      </c>
      <c r="O24" s="8">
        <v>220274.4</v>
      </c>
      <c r="P24" s="8">
        <v>69143.97</v>
      </c>
      <c r="Q24" s="9">
        <f t="shared" si="4"/>
        <v>289418.37</v>
      </c>
      <c r="R24" s="9">
        <f t="shared" si="5"/>
        <v>-66188.26000000001</v>
      </c>
    </row>
    <row r="25" spans="1:18" ht="12.75">
      <c r="A25" s="5">
        <v>18</v>
      </c>
      <c r="B25" s="80" t="s">
        <v>38</v>
      </c>
      <c r="C25" s="80"/>
      <c r="D25" s="5">
        <v>9</v>
      </c>
      <c r="E25" s="5">
        <v>212</v>
      </c>
      <c r="F25" s="5">
        <v>6</v>
      </c>
      <c r="G25" s="5">
        <v>6</v>
      </c>
      <c r="H25" s="5">
        <v>1708.1</v>
      </c>
      <c r="I25" s="5">
        <v>1751.9</v>
      </c>
      <c r="J25" s="5">
        <v>6532</v>
      </c>
      <c r="K25" s="6">
        <v>10814.2</v>
      </c>
      <c r="L25" s="7">
        <v>408566.7</v>
      </c>
      <c r="M25" s="7">
        <v>128248.56</v>
      </c>
      <c r="N25" s="8">
        <f t="shared" si="6"/>
        <v>536815.26</v>
      </c>
      <c r="O25" s="8">
        <v>344163.94</v>
      </c>
      <c r="P25" s="8">
        <v>108032.62</v>
      </c>
      <c r="Q25" s="9">
        <f t="shared" si="4"/>
        <v>452196.56</v>
      </c>
      <c r="R25" s="9">
        <f t="shared" si="5"/>
        <v>-84618.70000000001</v>
      </c>
    </row>
    <row r="26" spans="1:18" ht="12.75">
      <c r="A26" s="5">
        <v>19</v>
      </c>
      <c r="B26" s="80" t="s">
        <v>39</v>
      </c>
      <c r="C26" s="80"/>
      <c r="D26" s="5">
        <v>9</v>
      </c>
      <c r="E26" s="5">
        <v>34</v>
      </c>
      <c r="F26" s="5">
        <v>1</v>
      </c>
      <c r="G26" s="5">
        <v>1</v>
      </c>
      <c r="H26" s="5">
        <v>287.2</v>
      </c>
      <c r="I26" s="5">
        <v>280.7</v>
      </c>
      <c r="J26" s="5">
        <v>2861</v>
      </c>
      <c r="K26" s="6">
        <v>1656.8</v>
      </c>
      <c r="L26" s="7">
        <v>61992.84</v>
      </c>
      <c r="M26" s="7">
        <v>19459.38</v>
      </c>
      <c r="N26" s="8">
        <f>SUM(L26:M26)</f>
        <v>81452.22</v>
      </c>
      <c r="O26" s="8">
        <v>62882.39</v>
      </c>
      <c r="P26" s="8">
        <v>19738.61</v>
      </c>
      <c r="Q26" s="9">
        <f t="shared" si="4"/>
        <v>82621</v>
      </c>
      <c r="R26" s="9">
        <f t="shared" si="5"/>
        <v>1168.7799999999988</v>
      </c>
    </row>
    <row r="27" spans="1:18" ht="12.75">
      <c r="A27" s="5">
        <v>20</v>
      </c>
      <c r="B27" s="80" t="s">
        <v>40</v>
      </c>
      <c r="C27" s="80"/>
      <c r="D27" s="5">
        <v>9</v>
      </c>
      <c r="E27" s="5">
        <v>214</v>
      </c>
      <c r="F27" s="5">
        <v>6</v>
      </c>
      <c r="G27" s="5">
        <v>6</v>
      </c>
      <c r="H27" s="5">
        <v>1704.9</v>
      </c>
      <c r="I27" s="5">
        <v>1746</v>
      </c>
      <c r="J27" s="5">
        <v>6792</v>
      </c>
      <c r="K27" s="6">
        <v>10901.9</v>
      </c>
      <c r="L27" s="7">
        <v>409249.89</v>
      </c>
      <c r="M27" s="7">
        <v>128463.15</v>
      </c>
      <c r="N27" s="8">
        <f>L27+M27</f>
        <v>537713.04</v>
      </c>
      <c r="O27" s="8">
        <v>386004.65</v>
      </c>
      <c r="P27" s="8">
        <v>121166.49</v>
      </c>
      <c r="Q27" s="9">
        <f t="shared" si="4"/>
        <v>507171.14</v>
      </c>
      <c r="R27" s="9">
        <f t="shared" si="5"/>
        <v>-30541.900000000023</v>
      </c>
    </row>
    <row r="28" spans="1:18" ht="12.75">
      <c r="A28" s="5">
        <v>21</v>
      </c>
      <c r="B28" s="80" t="s">
        <v>41</v>
      </c>
      <c r="C28" s="80"/>
      <c r="D28" s="5">
        <v>9</v>
      </c>
      <c r="E28" s="5">
        <v>34</v>
      </c>
      <c r="F28" s="5">
        <v>1</v>
      </c>
      <c r="G28" s="5">
        <v>1</v>
      </c>
      <c r="H28" s="5">
        <v>294.7</v>
      </c>
      <c r="I28" s="5">
        <v>278.5</v>
      </c>
      <c r="J28" s="5">
        <v>3853</v>
      </c>
      <c r="K28" s="6">
        <v>1673.8</v>
      </c>
      <c r="L28" s="7">
        <v>62830.38</v>
      </c>
      <c r="M28" s="7">
        <v>19722.39</v>
      </c>
      <c r="N28" s="8">
        <f>L28+M28</f>
        <v>82552.76999999999</v>
      </c>
      <c r="O28" s="8">
        <v>47893.05</v>
      </c>
      <c r="P28" s="8">
        <v>15033.58</v>
      </c>
      <c r="Q28" s="9">
        <f t="shared" si="4"/>
        <v>62926.630000000005</v>
      </c>
      <c r="R28" s="9">
        <f t="shared" si="5"/>
        <v>-19626.139999999985</v>
      </c>
    </row>
    <row r="29" spans="1:18" ht="12.75">
      <c r="A29" s="5">
        <v>22</v>
      </c>
      <c r="B29" s="80" t="s">
        <v>42</v>
      </c>
      <c r="C29" s="80"/>
      <c r="D29" s="5">
        <v>9</v>
      </c>
      <c r="E29" s="5">
        <v>107</v>
      </c>
      <c r="F29" s="5">
        <v>3</v>
      </c>
      <c r="G29" s="5">
        <v>3</v>
      </c>
      <c r="H29" s="5">
        <v>833.4</v>
      </c>
      <c r="I29" s="5">
        <v>889.9</v>
      </c>
      <c r="J29" s="5">
        <v>3798</v>
      </c>
      <c r="K29" s="6">
        <v>5727.1</v>
      </c>
      <c r="L29" s="7">
        <v>208950</v>
      </c>
      <c r="M29" s="7">
        <v>65589.06</v>
      </c>
      <c r="N29" s="8">
        <f>L29+M29</f>
        <v>274539.06</v>
      </c>
      <c r="O29" s="8">
        <v>205041.06</v>
      </c>
      <c r="P29" s="8">
        <v>64362.05</v>
      </c>
      <c r="Q29" s="9">
        <f t="shared" si="4"/>
        <v>269403.11</v>
      </c>
      <c r="R29" s="9">
        <f t="shared" si="5"/>
        <v>-5135.950000000012</v>
      </c>
    </row>
    <row r="30" spans="1:18" ht="12.75">
      <c r="A30" s="10"/>
      <c r="B30" s="81" t="s">
        <v>26</v>
      </c>
      <c r="C30" s="82"/>
      <c r="D30" s="10">
        <f aca="true" t="shared" si="7" ref="D30:P30">SUM(D15:D29)</f>
        <v>136</v>
      </c>
      <c r="E30" s="10">
        <f t="shared" si="7"/>
        <v>2020</v>
      </c>
      <c r="F30" s="10">
        <f t="shared" si="7"/>
        <v>57</v>
      </c>
      <c r="G30" s="10">
        <f t="shared" si="7"/>
        <v>57</v>
      </c>
      <c r="H30" s="10">
        <f t="shared" si="7"/>
        <v>16124.000000000002</v>
      </c>
      <c r="I30" s="10">
        <f t="shared" si="7"/>
        <v>16646.300000000003</v>
      </c>
      <c r="J30" s="10">
        <f t="shared" si="7"/>
        <v>82627</v>
      </c>
      <c r="K30" s="11">
        <f t="shared" si="7"/>
        <v>103727.7</v>
      </c>
      <c r="L30" s="9">
        <f t="shared" si="7"/>
        <v>3847883.08</v>
      </c>
      <c r="M30" s="9">
        <f t="shared" si="7"/>
        <v>1221467.76</v>
      </c>
      <c r="N30" s="12">
        <f t="shared" si="7"/>
        <v>5069350.839999999</v>
      </c>
      <c r="O30" s="12">
        <f t="shared" si="7"/>
        <v>3472195.51</v>
      </c>
      <c r="P30" s="12">
        <f t="shared" si="7"/>
        <v>1102684.15</v>
      </c>
      <c r="Q30" s="9">
        <f t="shared" si="4"/>
        <v>4574879.66</v>
      </c>
      <c r="R30" s="9">
        <f t="shared" si="5"/>
        <v>-494471.17999999877</v>
      </c>
    </row>
    <row r="31" spans="1:18" ht="12.75">
      <c r="A31" s="10"/>
      <c r="B31" s="79" t="s">
        <v>43</v>
      </c>
      <c r="C31" s="79"/>
      <c r="D31" s="10">
        <f aca="true" t="shared" si="8" ref="D31:Q31">D13+D30</f>
        <v>171</v>
      </c>
      <c r="E31" s="10">
        <f t="shared" si="8"/>
        <v>2715</v>
      </c>
      <c r="F31" s="10">
        <f t="shared" si="8"/>
        <v>57</v>
      </c>
      <c r="G31" s="10">
        <f t="shared" si="8"/>
        <v>101</v>
      </c>
      <c r="H31" s="10">
        <f t="shared" si="8"/>
        <v>20202.800000000003</v>
      </c>
      <c r="I31" s="10">
        <f t="shared" si="8"/>
        <v>24983.000000000004</v>
      </c>
      <c r="J31" s="10">
        <f t="shared" si="8"/>
        <v>117165</v>
      </c>
      <c r="K31" s="10">
        <f t="shared" si="8"/>
        <v>134757</v>
      </c>
      <c r="L31" s="9">
        <f t="shared" si="8"/>
        <v>4664666.47</v>
      </c>
      <c r="M31" s="10">
        <f t="shared" si="8"/>
        <v>1484738.02</v>
      </c>
      <c r="N31" s="9">
        <f t="shared" si="8"/>
        <v>6149404.489999999</v>
      </c>
      <c r="O31" s="9">
        <f t="shared" si="8"/>
        <v>4206682.9799999995</v>
      </c>
      <c r="P31" s="10">
        <f t="shared" si="8"/>
        <v>1339428.3299999998</v>
      </c>
      <c r="Q31" s="9">
        <f t="shared" si="8"/>
        <v>5546111.3100000005</v>
      </c>
      <c r="R31" s="9">
        <f t="shared" si="5"/>
        <v>-603293.1799999988</v>
      </c>
    </row>
    <row r="32" spans="1:18" ht="12.75">
      <c r="A32" s="13"/>
      <c r="B32" s="14"/>
      <c r="C32" s="14"/>
      <c r="D32" s="13"/>
      <c r="E32" s="15"/>
      <c r="F32" s="15"/>
      <c r="G32" s="15"/>
      <c r="H32" s="16"/>
      <c r="I32" s="16"/>
      <c r="J32" s="16"/>
      <c r="K32" s="16"/>
      <c r="L32" s="16"/>
      <c r="M32" s="16"/>
      <c r="N32" s="17"/>
      <c r="O32" s="17"/>
      <c r="P32" s="17"/>
      <c r="Q32" s="17"/>
      <c r="R32" s="17"/>
    </row>
    <row r="33" spans="1:18" ht="12.75">
      <c r="A33" s="13"/>
      <c r="B33" s="14"/>
      <c r="C33" s="14"/>
      <c r="D33" s="13"/>
      <c r="E33" s="15"/>
      <c r="F33" s="15"/>
      <c r="G33" s="15"/>
      <c r="H33" s="16"/>
      <c r="I33" s="16"/>
      <c r="J33" s="16"/>
      <c r="K33" s="16"/>
      <c r="L33" s="16"/>
      <c r="M33" s="16"/>
      <c r="N33" s="17"/>
      <c r="O33" s="17"/>
      <c r="P33" s="17"/>
      <c r="Q33" s="17"/>
      <c r="R33" s="17"/>
    </row>
    <row r="34" spans="1:16" ht="12.75">
      <c r="A34" s="1"/>
      <c r="K34" s="3"/>
      <c r="L34" s="1"/>
      <c r="M34" s="1"/>
      <c r="N34" s="1"/>
      <c r="O34" s="1"/>
      <c r="P34" s="1"/>
    </row>
    <row r="35" spans="1:16" ht="12.75">
      <c r="A35" s="1"/>
      <c r="B35" t="s">
        <v>44</v>
      </c>
      <c r="H35" s="3"/>
      <c r="K35" s="3"/>
      <c r="L35" s="1"/>
      <c r="M35" s="1"/>
      <c r="N35" s="1"/>
      <c r="O35" s="1"/>
      <c r="P35" s="1"/>
    </row>
  </sheetData>
  <sheetProtection/>
  <mergeCells count="43">
    <mergeCell ref="C1:M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B11:C11"/>
    <mergeCell ref="B12:C12"/>
    <mergeCell ref="Q3:Q4"/>
    <mergeCell ref="R3:R4"/>
    <mergeCell ref="A5:R5"/>
    <mergeCell ref="B6:C6"/>
    <mergeCell ref="K3:K4"/>
    <mergeCell ref="L3:M3"/>
    <mergeCell ref="N3:N4"/>
    <mergeCell ref="O3:P3"/>
    <mergeCell ref="B7:C7"/>
    <mergeCell ref="B8:C8"/>
    <mergeCell ref="B9:C9"/>
    <mergeCell ref="B10:C10"/>
    <mergeCell ref="B17:C17"/>
    <mergeCell ref="B18:C18"/>
    <mergeCell ref="B19:C19"/>
    <mergeCell ref="B20:C20"/>
    <mergeCell ref="B13:C13"/>
    <mergeCell ref="A14:R14"/>
    <mergeCell ref="B15:C15"/>
    <mergeCell ref="B16:C16"/>
    <mergeCell ref="B21:C21"/>
    <mergeCell ref="B22:C22"/>
    <mergeCell ref="B25:C25"/>
    <mergeCell ref="B26:C26"/>
    <mergeCell ref="B23:C23"/>
    <mergeCell ref="B24:C24"/>
    <mergeCell ref="B31:C31"/>
    <mergeCell ref="B27:C27"/>
    <mergeCell ref="B28:C28"/>
    <mergeCell ref="B29:C29"/>
    <mergeCell ref="B30:C3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C1">
      <selection activeCell="Q33" sqref="Q33"/>
    </sheetView>
  </sheetViews>
  <sheetFormatPr defaultColWidth="9.00390625" defaultRowHeight="12.75"/>
  <cols>
    <col min="1" max="1" width="3.375" style="0" customWidth="1"/>
    <col min="3" max="3" width="2.625" style="0" customWidth="1"/>
    <col min="4" max="4" width="4.125" style="0" customWidth="1"/>
    <col min="5" max="5" width="5.375" style="0" customWidth="1"/>
    <col min="6" max="6" width="4.125" style="0" customWidth="1"/>
    <col min="7" max="7" width="4.25390625" style="0" customWidth="1"/>
    <col min="8" max="8" width="8.125" style="0" customWidth="1"/>
    <col min="9" max="10" width="7.75390625" style="0" customWidth="1"/>
    <col min="12" max="12" width="11.25390625" style="0" customWidth="1"/>
    <col min="13" max="13" width="10.125" style="0" customWidth="1"/>
    <col min="14" max="14" width="11.125" style="0" customWidth="1"/>
    <col min="15" max="15" width="11.625" style="0" customWidth="1"/>
    <col min="16" max="16" width="10.875" style="0" customWidth="1"/>
    <col min="17" max="18" width="11.375" style="0" customWidth="1"/>
  </cols>
  <sheetData>
    <row r="1" spans="1:18" ht="12.75">
      <c r="A1" s="1"/>
      <c r="C1" s="92" t="s">
        <v>48</v>
      </c>
      <c r="D1" s="92"/>
      <c r="E1" s="92"/>
      <c r="F1" s="92"/>
      <c r="G1" s="92"/>
      <c r="H1" s="92"/>
      <c r="I1" s="92"/>
      <c r="J1" s="93"/>
      <c r="K1" s="93"/>
      <c r="L1" s="93"/>
      <c r="M1" s="93"/>
      <c r="N1" s="1"/>
      <c r="O1" s="1"/>
      <c r="P1" s="1"/>
      <c r="R1" s="2"/>
    </row>
    <row r="2" spans="1:18" ht="12.75">
      <c r="A2" s="1"/>
      <c r="C2" s="1"/>
      <c r="D2" s="1"/>
      <c r="E2" s="1"/>
      <c r="F2" s="1"/>
      <c r="G2" s="1"/>
      <c r="H2" s="1"/>
      <c r="I2" s="1"/>
      <c r="J2" s="1"/>
      <c r="K2" s="3"/>
      <c r="L2" s="1"/>
      <c r="M2" s="1"/>
      <c r="N2" s="1"/>
      <c r="O2" s="1"/>
      <c r="P2" s="1"/>
      <c r="R2" s="2"/>
    </row>
    <row r="3" spans="1:18" ht="12.75">
      <c r="A3" s="94" t="s">
        <v>1</v>
      </c>
      <c r="B3" s="95" t="s">
        <v>2</v>
      </c>
      <c r="C3" s="95"/>
      <c r="D3" s="96" t="s">
        <v>3</v>
      </c>
      <c r="E3" s="97" t="s">
        <v>4</v>
      </c>
      <c r="F3" s="97" t="s">
        <v>5</v>
      </c>
      <c r="G3" s="97" t="s">
        <v>6</v>
      </c>
      <c r="H3" s="97" t="s">
        <v>7</v>
      </c>
      <c r="I3" s="97" t="s">
        <v>8</v>
      </c>
      <c r="J3" s="97" t="s">
        <v>9</v>
      </c>
      <c r="K3" s="86" t="s">
        <v>10</v>
      </c>
      <c r="L3" s="87" t="s">
        <v>11</v>
      </c>
      <c r="M3" s="88"/>
      <c r="N3" s="89" t="s">
        <v>12</v>
      </c>
      <c r="O3" s="91" t="s">
        <v>13</v>
      </c>
      <c r="P3" s="91"/>
      <c r="Q3" s="77" t="s">
        <v>14</v>
      </c>
      <c r="R3" s="77" t="s">
        <v>15</v>
      </c>
    </row>
    <row r="4" spans="1:18" ht="65.25" customHeight="1">
      <c r="A4" s="94"/>
      <c r="B4" s="95"/>
      <c r="C4" s="95"/>
      <c r="D4" s="96"/>
      <c r="E4" s="97"/>
      <c r="F4" s="97"/>
      <c r="G4" s="97"/>
      <c r="H4" s="97"/>
      <c r="I4" s="97"/>
      <c r="J4" s="97"/>
      <c r="K4" s="86"/>
      <c r="L4" s="4" t="s">
        <v>16</v>
      </c>
      <c r="M4" s="4" t="s">
        <v>17</v>
      </c>
      <c r="N4" s="90"/>
      <c r="O4" s="4" t="s">
        <v>16</v>
      </c>
      <c r="P4" s="4" t="s">
        <v>17</v>
      </c>
      <c r="Q4" s="78"/>
      <c r="R4" s="78"/>
    </row>
    <row r="5" spans="1:18" ht="12.75">
      <c r="A5" s="83" t="s">
        <v>18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5"/>
    </row>
    <row r="6" spans="1:18" ht="12.75">
      <c r="A6" s="5">
        <v>1</v>
      </c>
      <c r="B6" s="80" t="s">
        <v>19</v>
      </c>
      <c r="C6" s="80"/>
      <c r="D6" s="5">
        <v>5</v>
      </c>
      <c r="E6" s="5">
        <v>77</v>
      </c>
      <c r="F6" s="5"/>
      <c r="G6" s="5">
        <v>5</v>
      </c>
      <c r="H6" s="5">
        <v>445.8</v>
      </c>
      <c r="I6" s="5">
        <v>964.3</v>
      </c>
      <c r="J6" s="5">
        <v>4343</v>
      </c>
      <c r="K6" s="6">
        <v>3540.8</v>
      </c>
      <c r="L6" s="7">
        <v>123299.52</v>
      </c>
      <c r="M6" s="7">
        <v>39742.76</v>
      </c>
      <c r="N6" s="8">
        <f aca="true" t="shared" si="0" ref="N6:N12">L6+M6</f>
        <v>163042.28</v>
      </c>
      <c r="O6" s="8">
        <v>111391.93</v>
      </c>
      <c r="P6" s="8">
        <v>35904.62</v>
      </c>
      <c r="Q6" s="9">
        <f aca="true" t="shared" si="1" ref="Q6:Q12">SUM(O6:P6)</f>
        <v>147296.55</v>
      </c>
      <c r="R6" s="9">
        <f aca="true" t="shared" si="2" ref="R6:R13">Q6-N6</f>
        <v>-15745.73000000001</v>
      </c>
    </row>
    <row r="7" spans="1:18" ht="12.75">
      <c r="A7" s="5">
        <v>2</v>
      </c>
      <c r="B7" s="80" t="s">
        <v>20</v>
      </c>
      <c r="C7" s="80"/>
      <c r="D7" s="5">
        <v>5</v>
      </c>
      <c r="E7" s="5">
        <v>50</v>
      </c>
      <c r="F7" s="5"/>
      <c r="G7" s="5">
        <v>3</v>
      </c>
      <c r="H7" s="5">
        <v>305.7</v>
      </c>
      <c r="I7" s="5">
        <v>620.2</v>
      </c>
      <c r="J7" s="5">
        <v>3263</v>
      </c>
      <c r="K7" s="6">
        <v>2291.9</v>
      </c>
      <c r="L7" s="7">
        <v>80074.56</v>
      </c>
      <c r="M7" s="7">
        <v>25810.16</v>
      </c>
      <c r="N7" s="8">
        <f t="shared" si="0"/>
        <v>105884.72</v>
      </c>
      <c r="O7" s="8">
        <v>69556.32</v>
      </c>
      <c r="P7" s="8">
        <v>22419.85</v>
      </c>
      <c r="Q7" s="9">
        <f t="shared" si="1"/>
        <v>91976.17000000001</v>
      </c>
      <c r="R7" s="9">
        <f t="shared" si="2"/>
        <v>-13908.549999999988</v>
      </c>
    </row>
    <row r="8" spans="1:18" ht="12.75">
      <c r="A8" s="5">
        <v>3</v>
      </c>
      <c r="B8" s="80" t="s">
        <v>21</v>
      </c>
      <c r="C8" s="80"/>
      <c r="D8" s="5">
        <v>5</v>
      </c>
      <c r="E8" s="5">
        <v>100</v>
      </c>
      <c r="F8" s="5"/>
      <c r="G8" s="5">
        <v>6</v>
      </c>
      <c r="H8" s="5">
        <v>620</v>
      </c>
      <c r="I8" s="5">
        <v>1231.7</v>
      </c>
      <c r="J8" s="5">
        <v>5382</v>
      </c>
      <c r="K8" s="6">
        <v>4552.2</v>
      </c>
      <c r="L8" s="7">
        <v>160338.42</v>
      </c>
      <c r="M8" s="7">
        <v>51681</v>
      </c>
      <c r="N8" s="8">
        <f t="shared" si="0"/>
        <v>212019.42</v>
      </c>
      <c r="O8" s="8">
        <v>145263.15</v>
      </c>
      <c r="P8" s="8">
        <v>46821.87</v>
      </c>
      <c r="Q8" s="9">
        <f t="shared" si="1"/>
        <v>192085.02</v>
      </c>
      <c r="R8" s="9">
        <f t="shared" si="2"/>
        <v>-19934.400000000023</v>
      </c>
    </row>
    <row r="9" spans="1:18" ht="12.75">
      <c r="A9" s="5">
        <v>4</v>
      </c>
      <c r="B9" s="80" t="s">
        <v>22</v>
      </c>
      <c r="C9" s="80"/>
      <c r="D9" s="5">
        <v>5</v>
      </c>
      <c r="E9" s="5">
        <v>109</v>
      </c>
      <c r="F9" s="5"/>
      <c r="G9" s="5">
        <v>7</v>
      </c>
      <c r="H9" s="5">
        <v>679.8</v>
      </c>
      <c r="I9" s="5">
        <v>1296.8</v>
      </c>
      <c r="J9" s="5">
        <v>4094</v>
      </c>
      <c r="K9" s="6">
        <v>4821.2</v>
      </c>
      <c r="L9" s="7">
        <v>170029.85</v>
      </c>
      <c r="M9" s="7">
        <v>54804.98</v>
      </c>
      <c r="N9" s="8">
        <f t="shared" si="0"/>
        <v>224834.83000000002</v>
      </c>
      <c r="O9" s="8">
        <v>156458.54</v>
      </c>
      <c r="P9" s="8">
        <v>50430.6</v>
      </c>
      <c r="Q9" s="9">
        <f t="shared" si="1"/>
        <v>206889.14</v>
      </c>
      <c r="R9" s="9">
        <f t="shared" si="2"/>
        <v>-17945.690000000002</v>
      </c>
    </row>
    <row r="10" spans="1:18" ht="12.75">
      <c r="A10" s="5">
        <v>5</v>
      </c>
      <c r="B10" s="80" t="s">
        <v>23</v>
      </c>
      <c r="C10" s="80"/>
      <c r="D10" s="5">
        <v>5</v>
      </c>
      <c r="E10" s="5">
        <v>139</v>
      </c>
      <c r="F10" s="5"/>
      <c r="G10" s="5">
        <v>9</v>
      </c>
      <c r="H10" s="5">
        <v>788.1</v>
      </c>
      <c r="I10" s="5">
        <v>1632.4</v>
      </c>
      <c r="J10" s="5">
        <v>6410</v>
      </c>
      <c r="K10" s="6">
        <v>6145.2</v>
      </c>
      <c r="L10" s="7">
        <v>216081.12</v>
      </c>
      <c r="M10" s="7">
        <v>69648.36</v>
      </c>
      <c r="N10" s="8">
        <f t="shared" si="0"/>
        <v>285729.48</v>
      </c>
      <c r="O10" s="8">
        <v>200773.51</v>
      </c>
      <c r="P10" s="8">
        <v>64714.33</v>
      </c>
      <c r="Q10" s="9">
        <f t="shared" si="1"/>
        <v>265487.84</v>
      </c>
      <c r="R10" s="9">
        <f t="shared" si="2"/>
        <v>-20241.639999999956</v>
      </c>
    </row>
    <row r="11" spans="1:18" ht="12.75">
      <c r="A11" s="5">
        <v>6</v>
      </c>
      <c r="B11" s="80" t="s">
        <v>24</v>
      </c>
      <c r="C11" s="80"/>
      <c r="D11" s="5">
        <v>5</v>
      </c>
      <c r="E11" s="5">
        <v>110</v>
      </c>
      <c r="F11" s="5"/>
      <c r="G11" s="5">
        <v>7</v>
      </c>
      <c r="H11" s="5">
        <v>609.7</v>
      </c>
      <c r="I11" s="5">
        <v>1282.6</v>
      </c>
      <c r="J11" s="5">
        <v>5832</v>
      </c>
      <c r="K11" s="6">
        <v>4850.2</v>
      </c>
      <c r="L11" s="7">
        <v>169387.48</v>
      </c>
      <c r="M11" s="7">
        <v>54597.88</v>
      </c>
      <c r="N11" s="8">
        <f t="shared" si="0"/>
        <v>223985.36000000002</v>
      </c>
      <c r="O11" s="8">
        <v>154517.1</v>
      </c>
      <c r="P11" s="8">
        <v>49804.78</v>
      </c>
      <c r="Q11" s="9">
        <f t="shared" si="1"/>
        <v>204321.88</v>
      </c>
      <c r="R11" s="9">
        <f t="shared" si="2"/>
        <v>-19663.48000000001</v>
      </c>
    </row>
    <row r="12" spans="1:18" ht="12.75">
      <c r="A12" s="5">
        <v>7</v>
      </c>
      <c r="B12" s="80" t="s">
        <v>25</v>
      </c>
      <c r="C12" s="80"/>
      <c r="D12" s="5">
        <v>5</v>
      </c>
      <c r="E12" s="5">
        <v>110</v>
      </c>
      <c r="F12" s="5"/>
      <c r="G12" s="5">
        <v>7</v>
      </c>
      <c r="H12" s="5">
        <v>629.7</v>
      </c>
      <c r="I12" s="5">
        <v>1308.7</v>
      </c>
      <c r="J12" s="5">
        <v>5214</v>
      </c>
      <c r="K12" s="6">
        <v>4827.8</v>
      </c>
      <c r="L12" s="7">
        <v>169424.15</v>
      </c>
      <c r="M12" s="7">
        <v>54609.9</v>
      </c>
      <c r="N12" s="8">
        <f t="shared" si="0"/>
        <v>224034.05</v>
      </c>
      <c r="O12" s="8">
        <v>158443.98</v>
      </c>
      <c r="P12" s="8">
        <v>51070.7</v>
      </c>
      <c r="Q12" s="9">
        <f t="shared" si="1"/>
        <v>209514.68</v>
      </c>
      <c r="R12" s="9">
        <f t="shared" si="2"/>
        <v>-14519.369999999995</v>
      </c>
    </row>
    <row r="13" spans="1:18" ht="12.75">
      <c r="A13" s="10"/>
      <c r="B13" s="81" t="s">
        <v>26</v>
      </c>
      <c r="C13" s="82"/>
      <c r="D13" s="10">
        <f>SUM(D6:D12)</f>
        <v>35</v>
      </c>
      <c r="E13" s="10">
        <f>SUM(E6:E12)</f>
        <v>695</v>
      </c>
      <c r="F13" s="10"/>
      <c r="G13" s="10">
        <f aca="true" t="shared" si="3" ref="G13:Q13">SUM(G6:G12)</f>
        <v>44</v>
      </c>
      <c r="H13" s="10">
        <f t="shared" si="3"/>
        <v>4078.8</v>
      </c>
      <c r="I13" s="10">
        <f t="shared" si="3"/>
        <v>8336.7</v>
      </c>
      <c r="J13" s="10">
        <f t="shared" si="3"/>
        <v>34538</v>
      </c>
      <c r="K13" s="11">
        <f t="shared" si="3"/>
        <v>31029.300000000003</v>
      </c>
      <c r="L13" s="9">
        <f t="shared" si="3"/>
        <v>1088635.0999999999</v>
      </c>
      <c r="M13" s="9">
        <f t="shared" si="3"/>
        <v>350895.04000000004</v>
      </c>
      <c r="N13" s="12">
        <f t="shared" si="3"/>
        <v>1439530.1400000001</v>
      </c>
      <c r="O13" s="12">
        <f t="shared" si="3"/>
        <v>996404.53</v>
      </c>
      <c r="P13" s="12">
        <f t="shared" si="3"/>
        <v>321166.75000000006</v>
      </c>
      <c r="Q13" s="9">
        <f t="shared" si="3"/>
        <v>1317571.28</v>
      </c>
      <c r="R13" s="9">
        <f t="shared" si="2"/>
        <v>-121958.8600000001</v>
      </c>
    </row>
    <row r="14" spans="1:18" ht="12.75">
      <c r="A14" s="83" t="s">
        <v>27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5"/>
    </row>
    <row r="15" spans="1:18" ht="12.75">
      <c r="A15" s="5">
        <v>8</v>
      </c>
      <c r="B15" s="80" t="s">
        <v>28</v>
      </c>
      <c r="C15" s="80"/>
      <c r="D15" s="5">
        <v>9</v>
      </c>
      <c r="E15" s="5">
        <v>172</v>
      </c>
      <c r="F15" s="5">
        <v>5</v>
      </c>
      <c r="G15" s="5">
        <v>5</v>
      </c>
      <c r="H15" s="5">
        <v>1343.8</v>
      </c>
      <c r="I15" s="5">
        <v>1470.1</v>
      </c>
      <c r="J15" s="5">
        <v>4278</v>
      </c>
      <c r="K15" s="6">
        <v>8863</v>
      </c>
      <c r="L15" s="7">
        <v>384443.54</v>
      </c>
      <c r="M15" s="7">
        <v>138839.35</v>
      </c>
      <c r="N15" s="8">
        <f>L15+M15</f>
        <v>523282.89</v>
      </c>
      <c r="O15" s="8">
        <v>363301.69</v>
      </c>
      <c r="P15" s="8">
        <v>131204.1</v>
      </c>
      <c r="Q15" s="9">
        <f aca="true" t="shared" si="4" ref="Q15:Q30">SUM(O15:P15)</f>
        <v>494505.79000000004</v>
      </c>
      <c r="R15" s="9">
        <f aca="true" t="shared" si="5" ref="R15:R31">Q15-N15</f>
        <v>-28777.099999999977</v>
      </c>
    </row>
    <row r="16" spans="1:18" ht="12.75">
      <c r="A16" s="5">
        <v>9</v>
      </c>
      <c r="B16" s="80" t="s">
        <v>29</v>
      </c>
      <c r="C16" s="80"/>
      <c r="D16" s="5">
        <v>10</v>
      </c>
      <c r="E16" s="5">
        <v>78</v>
      </c>
      <c r="F16" s="5">
        <v>2</v>
      </c>
      <c r="G16" s="5">
        <v>2</v>
      </c>
      <c r="H16" s="5">
        <v>623.5</v>
      </c>
      <c r="I16" s="5">
        <v>600.5</v>
      </c>
      <c r="J16" s="5">
        <v>1933</v>
      </c>
      <c r="K16" s="6">
        <v>4147.2</v>
      </c>
      <c r="L16" s="7">
        <v>207922.04</v>
      </c>
      <c r="M16" s="7">
        <v>65266.48</v>
      </c>
      <c r="N16" s="8">
        <f>L16+M16</f>
        <v>273188.52</v>
      </c>
      <c r="O16" s="8">
        <v>207977.26</v>
      </c>
      <c r="P16" s="8">
        <v>65283.82</v>
      </c>
      <c r="Q16" s="9">
        <f t="shared" si="4"/>
        <v>273261.08</v>
      </c>
      <c r="R16" s="9">
        <f t="shared" si="5"/>
        <v>72.55999999999767</v>
      </c>
    </row>
    <row r="17" spans="1:18" ht="12.75">
      <c r="A17" s="5">
        <v>10</v>
      </c>
      <c r="B17" s="80" t="s">
        <v>30</v>
      </c>
      <c r="C17" s="80"/>
      <c r="D17" s="5">
        <v>9</v>
      </c>
      <c r="E17" s="5">
        <v>142</v>
      </c>
      <c r="F17" s="5">
        <v>4</v>
      </c>
      <c r="G17" s="5">
        <v>4</v>
      </c>
      <c r="H17" s="5">
        <v>1082.2</v>
      </c>
      <c r="I17" s="5">
        <v>1170.7</v>
      </c>
      <c r="J17" s="5">
        <v>5957</v>
      </c>
      <c r="K17" s="6">
        <v>7266.7</v>
      </c>
      <c r="L17" s="7">
        <v>363738.66</v>
      </c>
      <c r="M17" s="7">
        <v>114177.36</v>
      </c>
      <c r="N17" s="8">
        <f>L17+M17</f>
        <v>477916.01999999996</v>
      </c>
      <c r="O17" s="8">
        <v>335917</v>
      </c>
      <c r="P17" s="8">
        <v>105444.16</v>
      </c>
      <c r="Q17" s="9">
        <f t="shared" si="4"/>
        <v>441361.16000000003</v>
      </c>
      <c r="R17" s="9">
        <f t="shared" si="5"/>
        <v>-36554.85999999993</v>
      </c>
    </row>
    <row r="18" spans="1:18" ht="12.75">
      <c r="A18" s="5">
        <v>11</v>
      </c>
      <c r="B18" s="80" t="s">
        <v>31</v>
      </c>
      <c r="C18" s="80"/>
      <c r="D18" s="5">
        <v>9</v>
      </c>
      <c r="E18" s="5">
        <v>34</v>
      </c>
      <c r="F18" s="5">
        <v>1</v>
      </c>
      <c r="G18" s="5">
        <v>1</v>
      </c>
      <c r="H18" s="5">
        <v>670.3</v>
      </c>
      <c r="I18" s="5">
        <v>280.2</v>
      </c>
      <c r="J18" s="5">
        <v>3515</v>
      </c>
      <c r="K18" s="6">
        <v>1640.1</v>
      </c>
      <c r="L18" s="7">
        <v>82531.76</v>
      </c>
      <c r="M18" s="7">
        <v>25906.64</v>
      </c>
      <c r="N18" s="8">
        <f>SUM(L18:M18)</f>
        <v>108438.4</v>
      </c>
      <c r="O18" s="8">
        <v>77123.29</v>
      </c>
      <c r="P18" s="8">
        <v>24208.92</v>
      </c>
      <c r="Q18" s="9">
        <f t="shared" si="4"/>
        <v>101332.20999999999</v>
      </c>
      <c r="R18" s="9">
        <f t="shared" si="5"/>
        <v>-7106.190000000002</v>
      </c>
    </row>
    <row r="19" spans="1:18" ht="12.75">
      <c r="A19" s="5">
        <v>12</v>
      </c>
      <c r="B19" s="80" t="s">
        <v>32</v>
      </c>
      <c r="C19" s="80"/>
      <c r="D19" s="5">
        <v>9</v>
      </c>
      <c r="E19" s="5">
        <v>213</v>
      </c>
      <c r="F19" s="5">
        <v>6</v>
      </c>
      <c r="G19" s="5">
        <v>6</v>
      </c>
      <c r="H19" s="5">
        <v>1637.3</v>
      </c>
      <c r="I19" s="5">
        <v>1762.4</v>
      </c>
      <c r="J19" s="5">
        <v>7777</v>
      </c>
      <c r="K19" s="6">
        <v>10994.5</v>
      </c>
      <c r="L19" s="7">
        <v>551128.38</v>
      </c>
      <c r="M19" s="7">
        <v>172997.92</v>
      </c>
      <c r="N19" s="8">
        <f aca="true" t="shared" si="6" ref="N19:N25">L19+M19</f>
        <v>724126.3</v>
      </c>
      <c r="O19" s="8">
        <v>485969.52</v>
      </c>
      <c r="P19" s="8">
        <v>152544.71</v>
      </c>
      <c r="Q19" s="9">
        <f t="shared" si="4"/>
        <v>638514.23</v>
      </c>
      <c r="R19" s="9">
        <f t="shared" si="5"/>
        <v>-85612.07000000007</v>
      </c>
    </row>
    <row r="20" spans="1:18" ht="12.75">
      <c r="A20" s="5">
        <v>13</v>
      </c>
      <c r="B20" s="80" t="s">
        <v>33</v>
      </c>
      <c r="C20" s="80"/>
      <c r="D20" s="5">
        <v>9</v>
      </c>
      <c r="E20" s="5">
        <v>35</v>
      </c>
      <c r="F20" s="5">
        <v>1</v>
      </c>
      <c r="G20" s="5">
        <v>1</v>
      </c>
      <c r="H20" s="5">
        <v>282.4</v>
      </c>
      <c r="I20" s="5">
        <v>281.6</v>
      </c>
      <c r="J20" s="5">
        <v>2272</v>
      </c>
      <c r="K20" s="6">
        <v>1789.8</v>
      </c>
      <c r="L20" s="7">
        <v>86428.08</v>
      </c>
      <c r="M20" s="7">
        <v>27129.72</v>
      </c>
      <c r="N20" s="8">
        <f t="shared" si="6"/>
        <v>113557.8</v>
      </c>
      <c r="O20" s="8">
        <v>96167.42</v>
      </c>
      <c r="P20" s="8">
        <v>30186.89</v>
      </c>
      <c r="Q20" s="9">
        <f t="shared" si="4"/>
        <v>126354.31</v>
      </c>
      <c r="R20" s="9">
        <f t="shared" si="5"/>
        <v>12796.509999999995</v>
      </c>
    </row>
    <row r="21" spans="1:18" ht="12.75">
      <c r="A21" s="5">
        <v>14</v>
      </c>
      <c r="B21" s="80" t="s">
        <v>34</v>
      </c>
      <c r="C21" s="80"/>
      <c r="D21" s="5">
        <v>9</v>
      </c>
      <c r="E21" s="5">
        <v>177</v>
      </c>
      <c r="F21" s="5">
        <v>5</v>
      </c>
      <c r="G21" s="5">
        <v>5</v>
      </c>
      <c r="H21" s="5">
        <v>1360.2</v>
      </c>
      <c r="I21" s="5">
        <v>1464.1</v>
      </c>
      <c r="J21" s="5">
        <v>9415</v>
      </c>
      <c r="K21" s="6">
        <v>9174.2</v>
      </c>
      <c r="L21" s="7">
        <v>460926.04</v>
      </c>
      <c r="M21" s="7">
        <v>144684.32</v>
      </c>
      <c r="N21" s="8">
        <f t="shared" si="6"/>
        <v>605610.36</v>
      </c>
      <c r="O21" s="8">
        <v>416339.56</v>
      </c>
      <c r="P21" s="8">
        <v>130688.66</v>
      </c>
      <c r="Q21" s="9">
        <f t="shared" si="4"/>
        <v>547028.22</v>
      </c>
      <c r="R21" s="9">
        <f t="shared" si="5"/>
        <v>-58582.140000000014</v>
      </c>
    </row>
    <row r="22" spans="1:18" ht="12.75">
      <c r="A22" s="5">
        <v>15</v>
      </c>
      <c r="B22" s="80" t="s">
        <v>35</v>
      </c>
      <c r="C22" s="80"/>
      <c r="D22" s="5">
        <v>9</v>
      </c>
      <c r="E22" s="5">
        <v>213</v>
      </c>
      <c r="F22" s="5">
        <v>6</v>
      </c>
      <c r="G22" s="5">
        <v>6</v>
      </c>
      <c r="H22" s="5">
        <v>1665.5</v>
      </c>
      <c r="I22" s="5">
        <v>1760.1</v>
      </c>
      <c r="J22" s="5">
        <v>9999</v>
      </c>
      <c r="K22" s="6">
        <v>11065</v>
      </c>
      <c r="L22" s="7">
        <v>554530.64</v>
      </c>
      <c r="M22" s="7">
        <v>174066.56</v>
      </c>
      <c r="N22" s="8">
        <f t="shared" si="6"/>
        <v>728597.2</v>
      </c>
      <c r="O22" s="8">
        <v>493196.2</v>
      </c>
      <c r="P22" s="8">
        <v>154813.74</v>
      </c>
      <c r="Q22" s="9">
        <f t="shared" si="4"/>
        <v>648009.94</v>
      </c>
      <c r="R22" s="9">
        <f t="shared" si="5"/>
        <v>-80587.26000000001</v>
      </c>
    </row>
    <row r="23" spans="1:18" ht="12.75">
      <c r="A23" s="5">
        <v>16</v>
      </c>
      <c r="B23" s="80" t="s">
        <v>36</v>
      </c>
      <c r="C23" s="80"/>
      <c r="D23" s="5">
        <v>9</v>
      </c>
      <c r="E23" s="5">
        <v>213</v>
      </c>
      <c r="F23" s="5">
        <v>6</v>
      </c>
      <c r="G23" s="5">
        <v>6</v>
      </c>
      <c r="H23" s="5">
        <v>1684.1</v>
      </c>
      <c r="I23" s="5">
        <v>1750.2</v>
      </c>
      <c r="J23" s="5">
        <v>7454</v>
      </c>
      <c r="K23" s="6">
        <v>10840.2</v>
      </c>
      <c r="L23" s="7">
        <v>542545.34</v>
      </c>
      <c r="M23" s="7">
        <v>170304.07</v>
      </c>
      <c r="N23" s="8">
        <f t="shared" si="6"/>
        <v>712849.4099999999</v>
      </c>
      <c r="O23" s="8">
        <v>507137.87</v>
      </c>
      <c r="P23" s="8">
        <v>159189.72</v>
      </c>
      <c r="Q23" s="9">
        <f t="shared" si="4"/>
        <v>666327.59</v>
      </c>
      <c r="R23" s="9">
        <f t="shared" si="5"/>
        <v>-46521.81999999995</v>
      </c>
    </row>
    <row r="24" spans="1:18" ht="12.75">
      <c r="A24" s="5">
        <v>17</v>
      </c>
      <c r="B24" s="80" t="s">
        <v>37</v>
      </c>
      <c r="C24" s="80"/>
      <c r="D24" s="5">
        <v>9</v>
      </c>
      <c r="E24" s="5">
        <v>142</v>
      </c>
      <c r="F24" s="5">
        <v>4</v>
      </c>
      <c r="G24" s="5">
        <v>4</v>
      </c>
      <c r="H24" s="5">
        <v>946.4</v>
      </c>
      <c r="I24" s="5">
        <v>1159.4</v>
      </c>
      <c r="J24" s="5">
        <v>6191</v>
      </c>
      <c r="K24" s="6">
        <v>7173.2</v>
      </c>
      <c r="L24" s="7">
        <v>361129.37</v>
      </c>
      <c r="M24" s="7">
        <v>113358.26</v>
      </c>
      <c r="N24" s="8">
        <f t="shared" si="6"/>
        <v>474487.63</v>
      </c>
      <c r="O24" s="8">
        <v>302757.66</v>
      </c>
      <c r="P24" s="8">
        <v>95035.42</v>
      </c>
      <c r="Q24" s="9">
        <f t="shared" si="4"/>
        <v>397793.07999999996</v>
      </c>
      <c r="R24" s="9">
        <f t="shared" si="5"/>
        <v>-76694.55000000005</v>
      </c>
    </row>
    <row r="25" spans="1:18" ht="12.75">
      <c r="A25" s="5">
        <v>18</v>
      </c>
      <c r="B25" s="80" t="s">
        <v>38</v>
      </c>
      <c r="C25" s="80"/>
      <c r="D25" s="5">
        <v>9</v>
      </c>
      <c r="E25" s="5">
        <v>212</v>
      </c>
      <c r="F25" s="5">
        <v>6</v>
      </c>
      <c r="G25" s="5">
        <v>6</v>
      </c>
      <c r="H25" s="5">
        <v>1708.1</v>
      </c>
      <c r="I25" s="5">
        <v>1751.9</v>
      </c>
      <c r="J25" s="5">
        <v>6532</v>
      </c>
      <c r="K25" s="6">
        <v>10814.2</v>
      </c>
      <c r="L25" s="7">
        <v>544750.59</v>
      </c>
      <c r="M25" s="7">
        <v>170996.51</v>
      </c>
      <c r="N25" s="8">
        <f t="shared" si="6"/>
        <v>715747.1</v>
      </c>
      <c r="O25" s="8">
        <v>483424.01</v>
      </c>
      <c r="P25" s="8">
        <v>151746.18</v>
      </c>
      <c r="Q25" s="9">
        <f t="shared" si="4"/>
        <v>635170.19</v>
      </c>
      <c r="R25" s="9">
        <f t="shared" si="5"/>
        <v>-80576.91000000003</v>
      </c>
    </row>
    <row r="26" spans="1:18" ht="12.75">
      <c r="A26" s="5">
        <v>19</v>
      </c>
      <c r="B26" s="80" t="s">
        <v>39</v>
      </c>
      <c r="C26" s="80"/>
      <c r="D26" s="5">
        <v>9</v>
      </c>
      <c r="E26" s="5">
        <v>34</v>
      </c>
      <c r="F26" s="5">
        <v>1</v>
      </c>
      <c r="G26" s="5">
        <v>1</v>
      </c>
      <c r="H26" s="5">
        <v>287.2</v>
      </c>
      <c r="I26" s="5">
        <v>280.7</v>
      </c>
      <c r="J26" s="5">
        <v>2861</v>
      </c>
      <c r="K26" s="6">
        <v>1656.8</v>
      </c>
      <c r="L26" s="7">
        <v>82657.12</v>
      </c>
      <c r="M26" s="7">
        <v>25945.84</v>
      </c>
      <c r="N26" s="8">
        <f>SUM(L26:M26)</f>
        <v>108602.95999999999</v>
      </c>
      <c r="O26" s="8">
        <v>83305.28</v>
      </c>
      <c r="P26" s="8">
        <v>26149.29</v>
      </c>
      <c r="Q26" s="9">
        <f t="shared" si="4"/>
        <v>109454.57</v>
      </c>
      <c r="R26" s="9">
        <f t="shared" si="5"/>
        <v>851.6100000000151</v>
      </c>
    </row>
    <row r="27" spans="1:18" ht="12.75">
      <c r="A27" s="5">
        <v>20</v>
      </c>
      <c r="B27" s="80" t="s">
        <v>40</v>
      </c>
      <c r="C27" s="80"/>
      <c r="D27" s="5">
        <v>9</v>
      </c>
      <c r="E27" s="5">
        <v>214</v>
      </c>
      <c r="F27" s="5">
        <v>6</v>
      </c>
      <c r="G27" s="5">
        <v>6</v>
      </c>
      <c r="H27" s="5">
        <v>1704.9</v>
      </c>
      <c r="I27" s="5">
        <v>1746</v>
      </c>
      <c r="J27" s="5">
        <v>6792</v>
      </c>
      <c r="K27" s="6">
        <v>10901.9</v>
      </c>
      <c r="L27" s="7">
        <v>545666.52</v>
      </c>
      <c r="M27" s="7">
        <v>171284.2</v>
      </c>
      <c r="N27" s="8">
        <f>L27+M27</f>
        <v>716950.72</v>
      </c>
      <c r="O27" s="8">
        <v>522445.57</v>
      </c>
      <c r="P27" s="8">
        <v>163995.16</v>
      </c>
      <c r="Q27" s="9">
        <f t="shared" si="4"/>
        <v>686440.73</v>
      </c>
      <c r="R27" s="9">
        <f t="shared" si="5"/>
        <v>-30509.98999999999</v>
      </c>
    </row>
    <row r="28" spans="1:18" ht="12.75">
      <c r="A28" s="5">
        <v>21</v>
      </c>
      <c r="B28" s="80" t="s">
        <v>41</v>
      </c>
      <c r="C28" s="80"/>
      <c r="D28" s="5">
        <v>9</v>
      </c>
      <c r="E28" s="5">
        <v>34</v>
      </c>
      <c r="F28" s="5">
        <v>1</v>
      </c>
      <c r="G28" s="5">
        <v>1</v>
      </c>
      <c r="H28" s="5">
        <v>294.7</v>
      </c>
      <c r="I28" s="5">
        <v>278.5</v>
      </c>
      <c r="J28" s="5">
        <v>3853</v>
      </c>
      <c r="K28" s="6">
        <v>1673.8</v>
      </c>
      <c r="L28" s="7">
        <v>83773.84</v>
      </c>
      <c r="M28" s="7">
        <v>26296.52</v>
      </c>
      <c r="N28" s="8">
        <f>L28+M28</f>
        <v>110070.36</v>
      </c>
      <c r="O28" s="8">
        <v>62838.18</v>
      </c>
      <c r="P28" s="8">
        <v>19724.84</v>
      </c>
      <c r="Q28" s="9">
        <f t="shared" si="4"/>
        <v>82563.02</v>
      </c>
      <c r="R28" s="9">
        <f t="shared" si="5"/>
        <v>-27507.339999999997</v>
      </c>
    </row>
    <row r="29" spans="1:18" ht="12.75">
      <c r="A29" s="5">
        <v>22</v>
      </c>
      <c r="B29" s="80" t="s">
        <v>42</v>
      </c>
      <c r="C29" s="80"/>
      <c r="D29" s="5">
        <v>9</v>
      </c>
      <c r="E29" s="5">
        <v>107</v>
      </c>
      <c r="F29" s="5">
        <v>3</v>
      </c>
      <c r="G29" s="5">
        <v>3</v>
      </c>
      <c r="H29" s="5">
        <v>833.4</v>
      </c>
      <c r="I29" s="5">
        <v>889.9</v>
      </c>
      <c r="J29" s="5">
        <v>3798</v>
      </c>
      <c r="K29" s="6">
        <v>5727.1</v>
      </c>
      <c r="L29" s="7">
        <v>278600</v>
      </c>
      <c r="M29" s="7">
        <v>87452.08</v>
      </c>
      <c r="N29" s="8">
        <f>L29+M29</f>
        <v>366052.08</v>
      </c>
      <c r="O29" s="8">
        <v>274549.63</v>
      </c>
      <c r="P29" s="8">
        <v>86180.68</v>
      </c>
      <c r="Q29" s="9">
        <f t="shared" si="4"/>
        <v>360730.31</v>
      </c>
      <c r="R29" s="9">
        <f t="shared" si="5"/>
        <v>-5321.770000000019</v>
      </c>
    </row>
    <row r="30" spans="1:18" ht="12.75">
      <c r="A30" s="10"/>
      <c r="B30" s="81" t="s">
        <v>26</v>
      </c>
      <c r="C30" s="82"/>
      <c r="D30" s="10">
        <f aca="true" t="shared" si="7" ref="D30:P30">SUM(D15:D29)</f>
        <v>136</v>
      </c>
      <c r="E30" s="10">
        <f t="shared" si="7"/>
        <v>2020</v>
      </c>
      <c r="F30" s="10">
        <f t="shared" si="7"/>
        <v>57</v>
      </c>
      <c r="G30" s="10">
        <f t="shared" si="7"/>
        <v>57</v>
      </c>
      <c r="H30" s="10">
        <f t="shared" si="7"/>
        <v>16124.000000000002</v>
      </c>
      <c r="I30" s="10">
        <f t="shared" si="7"/>
        <v>16646.300000000003</v>
      </c>
      <c r="J30" s="10">
        <f t="shared" si="7"/>
        <v>82627</v>
      </c>
      <c r="K30" s="11">
        <f t="shared" si="7"/>
        <v>103727.7</v>
      </c>
      <c r="L30" s="9">
        <f t="shared" si="7"/>
        <v>5130771.92</v>
      </c>
      <c r="M30" s="9">
        <f t="shared" si="7"/>
        <v>1628705.8300000003</v>
      </c>
      <c r="N30" s="12">
        <f t="shared" si="7"/>
        <v>6759477.749999999</v>
      </c>
      <c r="O30" s="12">
        <f t="shared" si="7"/>
        <v>4712450.14</v>
      </c>
      <c r="P30" s="12">
        <f t="shared" si="7"/>
        <v>1496396.2899999998</v>
      </c>
      <c r="Q30" s="9">
        <f t="shared" si="4"/>
        <v>6208846.43</v>
      </c>
      <c r="R30" s="9">
        <f t="shared" si="5"/>
        <v>-550631.3199999994</v>
      </c>
    </row>
    <row r="31" spans="1:18" ht="12.75">
      <c r="A31" s="10"/>
      <c r="B31" s="79" t="s">
        <v>43</v>
      </c>
      <c r="C31" s="79"/>
      <c r="D31" s="10">
        <f aca="true" t="shared" si="8" ref="D31:Q31">D13+D30</f>
        <v>171</v>
      </c>
      <c r="E31" s="10">
        <f t="shared" si="8"/>
        <v>2715</v>
      </c>
      <c r="F31" s="10">
        <f t="shared" si="8"/>
        <v>57</v>
      </c>
      <c r="G31" s="10">
        <f t="shared" si="8"/>
        <v>101</v>
      </c>
      <c r="H31" s="10">
        <f t="shared" si="8"/>
        <v>20202.800000000003</v>
      </c>
      <c r="I31" s="10">
        <f t="shared" si="8"/>
        <v>24983.000000000004</v>
      </c>
      <c r="J31" s="10">
        <f t="shared" si="8"/>
        <v>117165</v>
      </c>
      <c r="K31" s="10">
        <f t="shared" si="8"/>
        <v>134757</v>
      </c>
      <c r="L31" s="9">
        <f t="shared" si="8"/>
        <v>6219407.02</v>
      </c>
      <c r="M31" s="10">
        <f t="shared" si="8"/>
        <v>1979600.8700000003</v>
      </c>
      <c r="N31" s="9">
        <f t="shared" si="8"/>
        <v>8199007.889999999</v>
      </c>
      <c r="O31" s="9">
        <f t="shared" si="8"/>
        <v>5708854.67</v>
      </c>
      <c r="P31" s="10">
        <f t="shared" si="8"/>
        <v>1817563.0399999998</v>
      </c>
      <c r="Q31" s="9">
        <f t="shared" si="8"/>
        <v>7526417.71</v>
      </c>
      <c r="R31" s="9">
        <f t="shared" si="5"/>
        <v>-672590.1799999988</v>
      </c>
    </row>
    <row r="32" spans="1:18" ht="12.75">
      <c r="A32" s="13"/>
      <c r="B32" s="14"/>
      <c r="C32" s="14"/>
      <c r="D32" s="13"/>
      <c r="E32" s="15"/>
      <c r="F32" s="15"/>
      <c r="G32" s="15"/>
      <c r="H32" s="16"/>
      <c r="I32" s="16"/>
      <c r="J32" s="16"/>
      <c r="K32" s="16"/>
      <c r="L32" s="16"/>
      <c r="M32" s="16"/>
      <c r="N32" s="17"/>
      <c r="O32" s="17"/>
      <c r="P32" s="17"/>
      <c r="Q32" s="17"/>
      <c r="R32" s="17"/>
    </row>
    <row r="33" spans="1:18" ht="12.75">
      <c r="A33" s="13"/>
      <c r="B33" s="14"/>
      <c r="C33" s="14"/>
      <c r="D33" s="13"/>
      <c r="E33" s="15"/>
      <c r="F33" s="15"/>
      <c r="G33" s="15"/>
      <c r="H33" s="16"/>
      <c r="I33" s="16"/>
      <c r="J33" s="16"/>
      <c r="K33" s="16"/>
      <c r="L33" s="16"/>
      <c r="M33" s="16"/>
      <c r="N33" s="17"/>
      <c r="O33" s="17"/>
      <c r="P33" s="17"/>
      <c r="Q33" s="17"/>
      <c r="R33" s="17"/>
    </row>
    <row r="34" spans="1:16" ht="12.75">
      <c r="A34" s="1"/>
      <c r="K34" s="3"/>
      <c r="L34" s="1"/>
      <c r="M34" s="1"/>
      <c r="N34" s="1"/>
      <c r="O34" s="1"/>
      <c r="P34" s="1"/>
    </row>
    <row r="35" spans="1:16" ht="12.75">
      <c r="A35" s="1"/>
      <c r="B35" t="s">
        <v>44</v>
      </c>
      <c r="H35" s="3"/>
      <c r="K35" s="3"/>
      <c r="L35" s="1"/>
      <c r="M35" s="1"/>
      <c r="N35" s="1"/>
      <c r="O35" s="1"/>
      <c r="P35" s="1"/>
    </row>
  </sheetData>
  <sheetProtection/>
  <mergeCells count="43">
    <mergeCell ref="B23:C23"/>
    <mergeCell ref="B24:C24"/>
    <mergeCell ref="B25:C25"/>
    <mergeCell ref="B26:C26"/>
    <mergeCell ref="B31:C31"/>
    <mergeCell ref="B27:C27"/>
    <mergeCell ref="B28:C28"/>
    <mergeCell ref="B29:C29"/>
    <mergeCell ref="B30:C30"/>
    <mergeCell ref="B15:C15"/>
    <mergeCell ref="B16:C16"/>
    <mergeCell ref="B17:C17"/>
    <mergeCell ref="B18:C18"/>
    <mergeCell ref="B19:C19"/>
    <mergeCell ref="B20:C20"/>
    <mergeCell ref="B21:C21"/>
    <mergeCell ref="B22:C22"/>
    <mergeCell ref="B7:C7"/>
    <mergeCell ref="B8:C8"/>
    <mergeCell ref="B9:C9"/>
    <mergeCell ref="B10:C10"/>
    <mergeCell ref="B11:C11"/>
    <mergeCell ref="B12:C12"/>
    <mergeCell ref="B13:C13"/>
    <mergeCell ref="A14:R14"/>
    <mergeCell ref="Q3:Q4"/>
    <mergeCell ref="R3:R4"/>
    <mergeCell ref="A5:R5"/>
    <mergeCell ref="B6:C6"/>
    <mergeCell ref="K3:K4"/>
    <mergeCell ref="L3:M3"/>
    <mergeCell ref="N3:N4"/>
    <mergeCell ref="O3:P3"/>
    <mergeCell ref="C1:M1"/>
    <mergeCell ref="A3:A4"/>
    <mergeCell ref="B3:C4"/>
    <mergeCell ref="D3:D4"/>
    <mergeCell ref="E3:E4"/>
    <mergeCell ref="F3:F4"/>
    <mergeCell ref="G3:G4"/>
    <mergeCell ref="H3:H4"/>
    <mergeCell ref="I3:I4"/>
    <mergeCell ref="J3:J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Q34" sqref="Q34"/>
    </sheetView>
  </sheetViews>
  <sheetFormatPr defaultColWidth="9.00390625" defaultRowHeight="12.75"/>
  <cols>
    <col min="1" max="1" width="3.375" style="0" customWidth="1"/>
    <col min="3" max="3" width="2.625" style="0" customWidth="1"/>
    <col min="4" max="4" width="4.125" style="0" customWidth="1"/>
    <col min="5" max="5" width="5.375" style="0" customWidth="1"/>
    <col min="6" max="6" width="4.125" style="0" customWidth="1"/>
    <col min="7" max="7" width="4.25390625" style="0" customWidth="1"/>
    <col min="8" max="8" width="8.125" style="0" customWidth="1"/>
    <col min="9" max="10" width="7.75390625" style="0" customWidth="1"/>
    <col min="12" max="12" width="11.25390625" style="0" customWidth="1"/>
    <col min="13" max="13" width="10.125" style="0" customWidth="1"/>
    <col min="14" max="14" width="11.125" style="0" customWidth="1"/>
    <col min="15" max="15" width="11.625" style="0" customWidth="1"/>
    <col min="16" max="16" width="10.875" style="0" customWidth="1"/>
    <col min="17" max="18" width="11.375" style="0" customWidth="1"/>
  </cols>
  <sheetData>
    <row r="1" spans="1:18" ht="12.75">
      <c r="A1" s="1"/>
      <c r="C1" s="92" t="s">
        <v>49</v>
      </c>
      <c r="D1" s="92"/>
      <c r="E1" s="92"/>
      <c r="F1" s="92"/>
      <c r="G1" s="92"/>
      <c r="H1" s="92"/>
      <c r="I1" s="92"/>
      <c r="J1" s="93"/>
      <c r="K1" s="93"/>
      <c r="L1" s="93"/>
      <c r="M1" s="93"/>
      <c r="N1" s="1"/>
      <c r="O1" s="1"/>
      <c r="P1" s="1"/>
      <c r="R1" s="2"/>
    </row>
    <row r="2" spans="1:18" ht="12.75">
      <c r="A2" s="1"/>
      <c r="C2" s="1"/>
      <c r="D2" s="1"/>
      <c r="E2" s="1"/>
      <c r="F2" s="1"/>
      <c r="G2" s="1"/>
      <c r="H2" s="1"/>
      <c r="I2" s="1"/>
      <c r="J2" s="1"/>
      <c r="K2" s="3"/>
      <c r="L2" s="1"/>
      <c r="M2" s="1"/>
      <c r="N2" s="1"/>
      <c r="O2" s="1"/>
      <c r="P2" s="1"/>
      <c r="R2" s="2"/>
    </row>
    <row r="3" spans="1:18" ht="12.75">
      <c r="A3" s="94" t="s">
        <v>1</v>
      </c>
      <c r="B3" s="95" t="s">
        <v>2</v>
      </c>
      <c r="C3" s="95"/>
      <c r="D3" s="96" t="s">
        <v>3</v>
      </c>
      <c r="E3" s="97" t="s">
        <v>4</v>
      </c>
      <c r="F3" s="97" t="s">
        <v>5</v>
      </c>
      <c r="G3" s="97" t="s">
        <v>6</v>
      </c>
      <c r="H3" s="97" t="s">
        <v>7</v>
      </c>
      <c r="I3" s="97" t="s">
        <v>8</v>
      </c>
      <c r="J3" s="97" t="s">
        <v>9</v>
      </c>
      <c r="K3" s="86" t="s">
        <v>10</v>
      </c>
      <c r="L3" s="87" t="s">
        <v>11</v>
      </c>
      <c r="M3" s="88"/>
      <c r="N3" s="89" t="s">
        <v>12</v>
      </c>
      <c r="O3" s="91" t="s">
        <v>13</v>
      </c>
      <c r="P3" s="91"/>
      <c r="Q3" s="77" t="s">
        <v>14</v>
      </c>
      <c r="R3" s="77" t="s">
        <v>15</v>
      </c>
    </row>
    <row r="4" spans="1:18" ht="65.25" customHeight="1">
      <c r="A4" s="94"/>
      <c r="B4" s="95"/>
      <c r="C4" s="95"/>
      <c r="D4" s="96"/>
      <c r="E4" s="97"/>
      <c r="F4" s="97"/>
      <c r="G4" s="97"/>
      <c r="H4" s="97"/>
      <c r="I4" s="97"/>
      <c r="J4" s="97"/>
      <c r="K4" s="86"/>
      <c r="L4" s="4" t="s">
        <v>16</v>
      </c>
      <c r="M4" s="4" t="s">
        <v>17</v>
      </c>
      <c r="N4" s="90"/>
      <c r="O4" s="4" t="s">
        <v>16</v>
      </c>
      <c r="P4" s="4" t="s">
        <v>17</v>
      </c>
      <c r="Q4" s="78"/>
      <c r="R4" s="78"/>
    </row>
    <row r="5" spans="1:18" ht="12.75">
      <c r="A5" s="83" t="s">
        <v>18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5"/>
    </row>
    <row r="6" spans="1:18" ht="12.75">
      <c r="A6" s="5">
        <v>1</v>
      </c>
      <c r="B6" s="80" t="s">
        <v>19</v>
      </c>
      <c r="C6" s="80"/>
      <c r="D6" s="5">
        <v>5</v>
      </c>
      <c r="E6" s="5">
        <v>77</v>
      </c>
      <c r="F6" s="5"/>
      <c r="G6" s="5">
        <v>5</v>
      </c>
      <c r="H6" s="5">
        <v>445.8</v>
      </c>
      <c r="I6" s="5">
        <v>964.3</v>
      </c>
      <c r="J6" s="5">
        <v>4343</v>
      </c>
      <c r="K6" s="6">
        <v>3540.8</v>
      </c>
      <c r="L6" s="7">
        <v>154124.4</v>
      </c>
      <c r="M6" s="7">
        <v>49678.45</v>
      </c>
      <c r="N6" s="8">
        <f aca="true" t="shared" si="0" ref="N6:N12">L6+M6</f>
        <v>203802.84999999998</v>
      </c>
      <c r="O6" s="8">
        <v>145803.56</v>
      </c>
      <c r="P6" s="8">
        <v>46996.42</v>
      </c>
      <c r="Q6" s="9">
        <f aca="true" t="shared" si="1" ref="Q6:Q12">SUM(O6:P6)</f>
        <v>192799.97999999998</v>
      </c>
      <c r="R6" s="9">
        <f aca="true" t="shared" si="2" ref="R6:R13">Q6-N6</f>
        <v>-11002.869999999995</v>
      </c>
    </row>
    <row r="7" spans="1:18" ht="12.75">
      <c r="A7" s="5">
        <v>2</v>
      </c>
      <c r="B7" s="80" t="s">
        <v>20</v>
      </c>
      <c r="C7" s="80"/>
      <c r="D7" s="5">
        <v>5</v>
      </c>
      <c r="E7" s="5">
        <v>50</v>
      </c>
      <c r="F7" s="5"/>
      <c r="G7" s="5">
        <v>3</v>
      </c>
      <c r="H7" s="5">
        <v>305.7</v>
      </c>
      <c r="I7" s="5">
        <v>620.2</v>
      </c>
      <c r="J7" s="5">
        <v>3263</v>
      </c>
      <c r="K7" s="6">
        <v>2291.9</v>
      </c>
      <c r="L7" s="7">
        <v>99776.9</v>
      </c>
      <c r="M7" s="7">
        <v>32160.75</v>
      </c>
      <c r="N7" s="8">
        <f t="shared" si="0"/>
        <v>131937.65</v>
      </c>
      <c r="O7" s="8">
        <v>89307.82</v>
      </c>
      <c r="P7" s="8">
        <v>28786.29</v>
      </c>
      <c r="Q7" s="9">
        <f t="shared" si="1"/>
        <v>118094.11000000002</v>
      </c>
      <c r="R7" s="9">
        <f t="shared" si="2"/>
        <v>-13843.539999999979</v>
      </c>
    </row>
    <row r="8" spans="1:18" ht="12.75">
      <c r="A8" s="5">
        <v>3</v>
      </c>
      <c r="B8" s="80" t="s">
        <v>21</v>
      </c>
      <c r="C8" s="80"/>
      <c r="D8" s="5">
        <v>5</v>
      </c>
      <c r="E8" s="5">
        <v>100</v>
      </c>
      <c r="F8" s="5"/>
      <c r="G8" s="5">
        <v>6</v>
      </c>
      <c r="H8" s="5">
        <v>620</v>
      </c>
      <c r="I8" s="5">
        <v>1231.7</v>
      </c>
      <c r="J8" s="5">
        <v>5382</v>
      </c>
      <c r="K8" s="6">
        <v>4552.2</v>
      </c>
      <c r="L8" s="7">
        <v>200449.81</v>
      </c>
      <c r="M8" s="7">
        <v>64609.88</v>
      </c>
      <c r="N8" s="8">
        <f t="shared" si="0"/>
        <v>265059.69</v>
      </c>
      <c r="O8" s="8">
        <v>187310.93</v>
      </c>
      <c r="P8" s="8">
        <v>60374.9</v>
      </c>
      <c r="Q8" s="9">
        <f t="shared" si="1"/>
        <v>247685.83</v>
      </c>
      <c r="R8" s="9">
        <f t="shared" si="2"/>
        <v>-17373.860000000015</v>
      </c>
    </row>
    <row r="9" spans="1:18" ht="12.75">
      <c r="A9" s="5">
        <v>4</v>
      </c>
      <c r="B9" s="80" t="s">
        <v>22</v>
      </c>
      <c r="C9" s="80"/>
      <c r="D9" s="5">
        <v>5</v>
      </c>
      <c r="E9" s="5">
        <v>109</v>
      </c>
      <c r="F9" s="5"/>
      <c r="G9" s="5">
        <v>7</v>
      </c>
      <c r="H9" s="5">
        <v>679.8</v>
      </c>
      <c r="I9" s="5">
        <v>1296.8</v>
      </c>
      <c r="J9" s="5">
        <v>4094</v>
      </c>
      <c r="K9" s="6">
        <v>4821.2</v>
      </c>
      <c r="L9" s="7">
        <v>212538.2</v>
      </c>
      <c r="M9" s="7">
        <v>68506.51</v>
      </c>
      <c r="N9" s="8">
        <f t="shared" si="0"/>
        <v>281044.71</v>
      </c>
      <c r="O9" s="8">
        <v>198665.29</v>
      </c>
      <c r="P9" s="8">
        <v>64034.91</v>
      </c>
      <c r="Q9" s="9">
        <f t="shared" si="1"/>
        <v>262700.2</v>
      </c>
      <c r="R9" s="9">
        <f t="shared" si="2"/>
        <v>-18344.51000000001</v>
      </c>
    </row>
    <row r="10" spans="1:18" ht="12.75">
      <c r="A10" s="5">
        <v>5</v>
      </c>
      <c r="B10" s="80" t="s">
        <v>23</v>
      </c>
      <c r="C10" s="80"/>
      <c r="D10" s="5">
        <v>5</v>
      </c>
      <c r="E10" s="5">
        <v>139</v>
      </c>
      <c r="F10" s="5"/>
      <c r="G10" s="5">
        <v>9</v>
      </c>
      <c r="H10" s="5">
        <v>788.1</v>
      </c>
      <c r="I10" s="5">
        <v>1632.4</v>
      </c>
      <c r="J10" s="5">
        <v>6410</v>
      </c>
      <c r="K10" s="6">
        <v>6145.2</v>
      </c>
      <c r="L10" s="7">
        <v>270101.84</v>
      </c>
      <c r="M10" s="7">
        <v>87060.59</v>
      </c>
      <c r="N10" s="8">
        <f t="shared" si="0"/>
        <v>357162.43000000005</v>
      </c>
      <c r="O10" s="8">
        <v>253694.08</v>
      </c>
      <c r="P10" s="8">
        <v>81771.96</v>
      </c>
      <c r="Q10" s="9">
        <f t="shared" si="1"/>
        <v>335466.04</v>
      </c>
      <c r="R10" s="9">
        <f t="shared" si="2"/>
        <v>-21696.390000000072</v>
      </c>
    </row>
    <row r="11" spans="1:18" ht="12.75">
      <c r="A11" s="5">
        <v>6</v>
      </c>
      <c r="B11" s="80" t="s">
        <v>24</v>
      </c>
      <c r="C11" s="80"/>
      <c r="D11" s="5">
        <v>5</v>
      </c>
      <c r="E11" s="5">
        <v>110</v>
      </c>
      <c r="F11" s="5"/>
      <c r="G11" s="5">
        <v>7</v>
      </c>
      <c r="H11" s="5">
        <v>609.7</v>
      </c>
      <c r="I11" s="5">
        <v>1282.6</v>
      </c>
      <c r="J11" s="5">
        <v>5832</v>
      </c>
      <c r="K11" s="6">
        <v>4850.2</v>
      </c>
      <c r="L11" s="7">
        <v>211734.35</v>
      </c>
      <c r="M11" s="7">
        <v>68247.35</v>
      </c>
      <c r="N11" s="8">
        <f t="shared" si="0"/>
        <v>279981.7</v>
      </c>
      <c r="O11" s="8">
        <v>198086.94</v>
      </c>
      <c r="P11" s="8">
        <v>63848.45</v>
      </c>
      <c r="Q11" s="9">
        <f t="shared" si="1"/>
        <v>261935.39</v>
      </c>
      <c r="R11" s="9">
        <f t="shared" si="2"/>
        <v>-18046.309999999998</v>
      </c>
    </row>
    <row r="12" spans="1:18" ht="12.75">
      <c r="A12" s="5">
        <v>7</v>
      </c>
      <c r="B12" s="80" t="s">
        <v>25</v>
      </c>
      <c r="C12" s="80"/>
      <c r="D12" s="5">
        <v>5</v>
      </c>
      <c r="E12" s="5">
        <v>110</v>
      </c>
      <c r="F12" s="5"/>
      <c r="G12" s="5">
        <v>7</v>
      </c>
      <c r="H12" s="5">
        <v>629.7</v>
      </c>
      <c r="I12" s="5">
        <v>1308.7</v>
      </c>
      <c r="J12" s="5">
        <v>5214</v>
      </c>
      <c r="K12" s="6">
        <v>4827.8</v>
      </c>
      <c r="L12" s="7">
        <v>211761.31</v>
      </c>
      <c r="M12" s="7">
        <v>68256.29</v>
      </c>
      <c r="N12" s="8">
        <f t="shared" si="0"/>
        <v>280017.6</v>
      </c>
      <c r="O12" s="8">
        <v>198112.04</v>
      </c>
      <c r="P12" s="8">
        <v>63856.77</v>
      </c>
      <c r="Q12" s="9">
        <f t="shared" si="1"/>
        <v>261968.81</v>
      </c>
      <c r="R12" s="9">
        <f t="shared" si="2"/>
        <v>-18048.78999999998</v>
      </c>
    </row>
    <row r="13" spans="1:18" ht="12.75">
      <c r="A13" s="10"/>
      <c r="B13" s="81" t="s">
        <v>26</v>
      </c>
      <c r="C13" s="82"/>
      <c r="D13" s="10">
        <f>SUM(D6:D12)</f>
        <v>35</v>
      </c>
      <c r="E13" s="10">
        <f>SUM(E6:E12)</f>
        <v>695</v>
      </c>
      <c r="F13" s="10"/>
      <c r="G13" s="10">
        <f aca="true" t="shared" si="3" ref="G13:Q13">SUM(G6:G12)</f>
        <v>44</v>
      </c>
      <c r="H13" s="10">
        <f t="shared" si="3"/>
        <v>4078.8</v>
      </c>
      <c r="I13" s="10">
        <f t="shared" si="3"/>
        <v>8336.7</v>
      </c>
      <c r="J13" s="10">
        <f t="shared" si="3"/>
        <v>34538</v>
      </c>
      <c r="K13" s="11">
        <f t="shared" si="3"/>
        <v>31029.300000000003</v>
      </c>
      <c r="L13" s="9">
        <f t="shared" si="3"/>
        <v>1360486.8100000003</v>
      </c>
      <c r="M13" s="9">
        <f t="shared" si="3"/>
        <v>438519.8199999999</v>
      </c>
      <c r="N13" s="12">
        <f t="shared" si="3"/>
        <v>1799006.63</v>
      </c>
      <c r="O13" s="12">
        <f t="shared" si="3"/>
        <v>1270980.66</v>
      </c>
      <c r="P13" s="12">
        <f t="shared" si="3"/>
        <v>409669.7</v>
      </c>
      <c r="Q13" s="9">
        <f t="shared" si="3"/>
        <v>1680650.3599999999</v>
      </c>
      <c r="R13" s="9">
        <f t="shared" si="2"/>
        <v>-118356.27000000002</v>
      </c>
    </row>
    <row r="14" spans="1:18" ht="12.75">
      <c r="A14" s="83" t="s">
        <v>27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5"/>
    </row>
    <row r="15" spans="1:18" ht="12.75">
      <c r="A15" s="5">
        <v>8</v>
      </c>
      <c r="B15" s="80" t="s">
        <v>28</v>
      </c>
      <c r="C15" s="80"/>
      <c r="D15" s="5">
        <v>9</v>
      </c>
      <c r="E15" s="5">
        <v>172</v>
      </c>
      <c r="F15" s="5">
        <v>5</v>
      </c>
      <c r="G15" s="5">
        <v>5</v>
      </c>
      <c r="H15" s="5">
        <v>1343.8</v>
      </c>
      <c r="I15" s="5">
        <v>1470.1</v>
      </c>
      <c r="J15" s="5">
        <v>4278</v>
      </c>
      <c r="K15" s="6">
        <v>8863</v>
      </c>
      <c r="L15" s="7">
        <v>480555.29</v>
      </c>
      <c r="M15" s="7">
        <v>173549.58</v>
      </c>
      <c r="N15" s="8">
        <f>L15+M15</f>
        <v>654104.87</v>
      </c>
      <c r="O15" s="8">
        <v>466554.07</v>
      </c>
      <c r="P15" s="8">
        <v>168493.12</v>
      </c>
      <c r="Q15" s="9">
        <f aca="true" t="shared" si="4" ref="Q15:Q30">SUM(O15:P15)</f>
        <v>635047.19</v>
      </c>
      <c r="R15" s="9">
        <f aca="true" t="shared" si="5" ref="R15:R31">Q15-N15</f>
        <v>-19057.68000000005</v>
      </c>
    </row>
    <row r="16" spans="1:18" ht="12.75">
      <c r="A16" s="5">
        <v>9</v>
      </c>
      <c r="B16" s="80" t="s">
        <v>29</v>
      </c>
      <c r="C16" s="80"/>
      <c r="D16" s="5">
        <v>10</v>
      </c>
      <c r="E16" s="5">
        <v>78</v>
      </c>
      <c r="F16" s="5">
        <v>2</v>
      </c>
      <c r="G16" s="5">
        <v>2</v>
      </c>
      <c r="H16" s="5">
        <v>623.5</v>
      </c>
      <c r="I16" s="5">
        <v>600.5</v>
      </c>
      <c r="J16" s="5">
        <v>1933</v>
      </c>
      <c r="K16" s="6">
        <v>4147.2</v>
      </c>
      <c r="L16" s="7">
        <v>259903.81</v>
      </c>
      <c r="M16" s="7">
        <v>81583.49</v>
      </c>
      <c r="N16" s="8">
        <f>L16+M16</f>
        <v>341487.3</v>
      </c>
      <c r="O16" s="8">
        <v>255182.9</v>
      </c>
      <c r="P16" s="8">
        <v>80101.6</v>
      </c>
      <c r="Q16" s="9">
        <f t="shared" si="4"/>
        <v>335284.5</v>
      </c>
      <c r="R16" s="9">
        <f t="shared" si="5"/>
        <v>-6202.799999999988</v>
      </c>
    </row>
    <row r="17" spans="1:18" ht="12.75">
      <c r="A17" s="5">
        <v>10</v>
      </c>
      <c r="B17" s="80" t="s">
        <v>30</v>
      </c>
      <c r="C17" s="80"/>
      <c r="D17" s="5">
        <v>9</v>
      </c>
      <c r="E17" s="5">
        <v>142</v>
      </c>
      <c r="F17" s="5">
        <v>4</v>
      </c>
      <c r="G17" s="5">
        <v>4</v>
      </c>
      <c r="H17" s="5">
        <v>1082.2</v>
      </c>
      <c r="I17" s="5">
        <v>1170.7</v>
      </c>
      <c r="J17" s="5">
        <v>5957</v>
      </c>
      <c r="K17" s="6">
        <v>7266.7</v>
      </c>
      <c r="L17" s="7">
        <v>454673.95</v>
      </c>
      <c r="M17" s="7">
        <v>142721.9</v>
      </c>
      <c r="N17" s="8">
        <f>L17+M17</f>
        <v>597395.85</v>
      </c>
      <c r="O17" s="8">
        <v>426120.36</v>
      </c>
      <c r="P17" s="8">
        <v>133758.94</v>
      </c>
      <c r="Q17" s="9">
        <f t="shared" si="4"/>
        <v>559879.3</v>
      </c>
      <c r="R17" s="9">
        <f t="shared" si="5"/>
        <v>-37516.54999999993</v>
      </c>
    </row>
    <row r="18" spans="1:18" ht="12.75">
      <c r="A18" s="5">
        <v>11</v>
      </c>
      <c r="B18" s="80" t="s">
        <v>31</v>
      </c>
      <c r="C18" s="80"/>
      <c r="D18" s="5">
        <v>9</v>
      </c>
      <c r="E18" s="5">
        <v>34</v>
      </c>
      <c r="F18" s="5">
        <v>1</v>
      </c>
      <c r="G18" s="5">
        <v>1</v>
      </c>
      <c r="H18" s="5">
        <v>670.3</v>
      </c>
      <c r="I18" s="5">
        <v>280.2</v>
      </c>
      <c r="J18" s="5">
        <v>3515</v>
      </c>
      <c r="K18" s="6">
        <v>1640.1</v>
      </c>
      <c r="L18" s="7">
        <v>103164.7</v>
      </c>
      <c r="M18" s="7">
        <v>32383.3</v>
      </c>
      <c r="N18" s="8">
        <f>SUM(L18:M18)</f>
        <v>135548</v>
      </c>
      <c r="O18" s="8">
        <v>95758.04</v>
      </c>
      <c r="P18" s="8">
        <v>30058.36</v>
      </c>
      <c r="Q18" s="9">
        <f t="shared" si="4"/>
        <v>125816.4</v>
      </c>
      <c r="R18" s="9">
        <f t="shared" si="5"/>
        <v>-9731.600000000006</v>
      </c>
    </row>
    <row r="19" spans="1:18" ht="12.75">
      <c r="A19" s="5">
        <v>12</v>
      </c>
      <c r="B19" s="80" t="s">
        <v>32</v>
      </c>
      <c r="C19" s="80"/>
      <c r="D19" s="5">
        <v>9</v>
      </c>
      <c r="E19" s="5">
        <v>213</v>
      </c>
      <c r="F19" s="5">
        <v>6</v>
      </c>
      <c r="G19" s="5">
        <v>6</v>
      </c>
      <c r="H19" s="5">
        <v>1637.3</v>
      </c>
      <c r="I19" s="5">
        <v>1762.4</v>
      </c>
      <c r="J19" s="5">
        <v>7777</v>
      </c>
      <c r="K19" s="6">
        <v>10994.5</v>
      </c>
      <c r="L19" s="7">
        <v>688916.11</v>
      </c>
      <c r="M19" s="7">
        <v>216249.17</v>
      </c>
      <c r="N19" s="8">
        <f aca="true" t="shared" si="6" ref="N19:N25">L19+M19</f>
        <v>905165.28</v>
      </c>
      <c r="O19" s="8">
        <v>613808.52</v>
      </c>
      <c r="P19" s="8">
        <v>192673.07</v>
      </c>
      <c r="Q19" s="9">
        <f t="shared" si="4"/>
        <v>806481.5900000001</v>
      </c>
      <c r="R19" s="9">
        <f t="shared" si="5"/>
        <v>-98683.68999999994</v>
      </c>
    </row>
    <row r="20" spans="1:18" ht="12.75">
      <c r="A20" s="5">
        <v>13</v>
      </c>
      <c r="B20" s="80" t="s">
        <v>33</v>
      </c>
      <c r="C20" s="80"/>
      <c r="D20" s="5">
        <v>9</v>
      </c>
      <c r="E20" s="5">
        <v>35</v>
      </c>
      <c r="F20" s="5">
        <v>1</v>
      </c>
      <c r="G20" s="5">
        <v>1</v>
      </c>
      <c r="H20" s="5">
        <v>282.4</v>
      </c>
      <c r="I20" s="5">
        <v>281.6</v>
      </c>
      <c r="J20" s="5">
        <v>2272</v>
      </c>
      <c r="K20" s="6">
        <v>1789.8</v>
      </c>
      <c r="L20" s="7">
        <v>108035.1</v>
      </c>
      <c r="M20" s="7">
        <v>33912.15</v>
      </c>
      <c r="N20" s="8">
        <f t="shared" si="6"/>
        <v>141947.25</v>
      </c>
      <c r="O20" s="8">
        <v>113542.01</v>
      </c>
      <c r="P20" s="8">
        <v>35640.76</v>
      </c>
      <c r="Q20" s="9">
        <f t="shared" si="4"/>
        <v>149182.77</v>
      </c>
      <c r="R20" s="9">
        <f t="shared" si="5"/>
        <v>7235.5199999999895</v>
      </c>
    </row>
    <row r="21" spans="1:18" ht="12.75">
      <c r="A21" s="5">
        <v>14</v>
      </c>
      <c r="B21" s="80" t="s">
        <v>34</v>
      </c>
      <c r="C21" s="80"/>
      <c r="D21" s="5">
        <v>9</v>
      </c>
      <c r="E21" s="5">
        <v>177</v>
      </c>
      <c r="F21" s="5">
        <v>5</v>
      </c>
      <c r="G21" s="5">
        <v>5</v>
      </c>
      <c r="H21" s="5">
        <v>1360.2</v>
      </c>
      <c r="I21" s="5">
        <v>1464.1</v>
      </c>
      <c r="J21" s="5">
        <v>9415</v>
      </c>
      <c r="K21" s="6">
        <v>9174.2</v>
      </c>
      <c r="L21" s="7">
        <v>576157.55</v>
      </c>
      <c r="M21" s="7">
        <v>180855.4</v>
      </c>
      <c r="N21" s="8">
        <f t="shared" si="6"/>
        <v>757012.9500000001</v>
      </c>
      <c r="O21" s="8">
        <v>543840.02</v>
      </c>
      <c r="P21" s="8">
        <v>170710.95</v>
      </c>
      <c r="Q21" s="9">
        <f t="shared" si="4"/>
        <v>714550.97</v>
      </c>
      <c r="R21" s="9">
        <f t="shared" si="5"/>
        <v>-42461.9800000001</v>
      </c>
    </row>
    <row r="22" spans="1:18" ht="12.75">
      <c r="A22" s="5">
        <v>15</v>
      </c>
      <c r="B22" s="80" t="s">
        <v>35</v>
      </c>
      <c r="C22" s="80"/>
      <c r="D22" s="5">
        <v>9</v>
      </c>
      <c r="E22" s="5">
        <v>213</v>
      </c>
      <c r="F22" s="5">
        <v>6</v>
      </c>
      <c r="G22" s="5">
        <v>6</v>
      </c>
      <c r="H22" s="5">
        <v>1665.5</v>
      </c>
      <c r="I22" s="5">
        <v>1760.1</v>
      </c>
      <c r="J22" s="5">
        <v>9999</v>
      </c>
      <c r="K22" s="6">
        <v>11065</v>
      </c>
      <c r="L22" s="7">
        <v>693152.04</v>
      </c>
      <c r="M22" s="7">
        <v>217579.66</v>
      </c>
      <c r="N22" s="8">
        <f t="shared" si="6"/>
        <v>910731.7000000001</v>
      </c>
      <c r="O22" s="8">
        <v>633626.55</v>
      </c>
      <c r="P22" s="8">
        <v>198894.68</v>
      </c>
      <c r="Q22" s="9">
        <f t="shared" si="4"/>
        <v>832521.23</v>
      </c>
      <c r="R22" s="9">
        <f t="shared" si="5"/>
        <v>-78210.47000000009</v>
      </c>
    </row>
    <row r="23" spans="1:18" ht="12.75">
      <c r="A23" s="5">
        <v>16</v>
      </c>
      <c r="B23" s="80" t="s">
        <v>36</v>
      </c>
      <c r="C23" s="80"/>
      <c r="D23" s="5">
        <v>9</v>
      </c>
      <c r="E23" s="5">
        <v>213</v>
      </c>
      <c r="F23" s="5">
        <v>6</v>
      </c>
      <c r="G23" s="5">
        <v>6</v>
      </c>
      <c r="H23" s="5">
        <v>1684.1</v>
      </c>
      <c r="I23" s="5">
        <v>1750.2</v>
      </c>
      <c r="J23" s="5">
        <v>7454</v>
      </c>
      <c r="K23" s="6">
        <v>10840.2</v>
      </c>
      <c r="L23" s="7">
        <v>678176.98</v>
      </c>
      <c r="M23" s="7">
        <v>212878.61</v>
      </c>
      <c r="N23" s="8">
        <f t="shared" si="6"/>
        <v>891055.59</v>
      </c>
      <c r="O23" s="8">
        <v>634656.1</v>
      </c>
      <c r="P23" s="8">
        <v>199217.48</v>
      </c>
      <c r="Q23" s="9">
        <f t="shared" si="4"/>
        <v>833873.58</v>
      </c>
      <c r="R23" s="9">
        <f t="shared" si="5"/>
        <v>-57182.01000000001</v>
      </c>
    </row>
    <row r="24" spans="1:18" ht="12.75">
      <c r="A24" s="5">
        <v>17</v>
      </c>
      <c r="B24" s="80" t="s">
        <v>37</v>
      </c>
      <c r="C24" s="80"/>
      <c r="D24" s="5">
        <v>9</v>
      </c>
      <c r="E24" s="5">
        <v>142</v>
      </c>
      <c r="F24" s="5">
        <v>4</v>
      </c>
      <c r="G24" s="5">
        <v>4</v>
      </c>
      <c r="H24" s="5">
        <v>946.4</v>
      </c>
      <c r="I24" s="5">
        <v>1159.4</v>
      </c>
      <c r="J24" s="5">
        <v>6191</v>
      </c>
      <c r="K24" s="6">
        <v>7173.2</v>
      </c>
      <c r="L24" s="7">
        <v>451608.9</v>
      </c>
      <c r="M24" s="7">
        <v>141759.73</v>
      </c>
      <c r="N24" s="8">
        <f t="shared" si="6"/>
        <v>593368.63</v>
      </c>
      <c r="O24" s="8">
        <v>385988.16</v>
      </c>
      <c r="P24" s="8">
        <v>121161.43</v>
      </c>
      <c r="Q24" s="9">
        <f t="shared" si="4"/>
        <v>507149.58999999997</v>
      </c>
      <c r="R24" s="9">
        <f t="shared" si="5"/>
        <v>-86219.04000000004</v>
      </c>
    </row>
    <row r="25" spans="1:18" ht="12.75">
      <c r="A25" s="5">
        <v>18</v>
      </c>
      <c r="B25" s="80" t="s">
        <v>38</v>
      </c>
      <c r="C25" s="80"/>
      <c r="D25" s="5">
        <v>9</v>
      </c>
      <c r="E25" s="5">
        <v>212</v>
      </c>
      <c r="F25" s="5">
        <v>6</v>
      </c>
      <c r="G25" s="5">
        <v>6</v>
      </c>
      <c r="H25" s="5">
        <v>1708.1</v>
      </c>
      <c r="I25" s="5">
        <v>1751.9</v>
      </c>
      <c r="J25" s="5">
        <v>6532</v>
      </c>
      <c r="K25" s="6">
        <v>10814.2</v>
      </c>
      <c r="L25" s="7">
        <v>680934.48</v>
      </c>
      <c r="M25" s="7">
        <v>213744.46</v>
      </c>
      <c r="N25" s="8">
        <f t="shared" si="6"/>
        <v>894678.94</v>
      </c>
      <c r="O25" s="8">
        <v>629939.52</v>
      </c>
      <c r="P25" s="8">
        <v>197737.21</v>
      </c>
      <c r="Q25" s="9">
        <f t="shared" si="4"/>
        <v>827676.73</v>
      </c>
      <c r="R25" s="9">
        <f t="shared" si="5"/>
        <v>-67002.20999999996</v>
      </c>
    </row>
    <row r="26" spans="1:18" ht="12.75">
      <c r="A26" s="5">
        <v>19</v>
      </c>
      <c r="B26" s="80" t="s">
        <v>39</v>
      </c>
      <c r="C26" s="80"/>
      <c r="D26" s="5">
        <v>9</v>
      </c>
      <c r="E26" s="5">
        <v>34</v>
      </c>
      <c r="F26" s="5">
        <v>1</v>
      </c>
      <c r="G26" s="5">
        <v>1</v>
      </c>
      <c r="H26" s="5">
        <v>287.2</v>
      </c>
      <c r="I26" s="5">
        <v>280.7</v>
      </c>
      <c r="J26" s="5">
        <v>2861</v>
      </c>
      <c r="K26" s="6">
        <v>1656.8</v>
      </c>
      <c r="L26" s="7">
        <v>103321.4</v>
      </c>
      <c r="M26" s="7">
        <v>32432.3</v>
      </c>
      <c r="N26" s="8">
        <f>SUM(L26:M26)</f>
        <v>135753.69999999998</v>
      </c>
      <c r="O26" s="8">
        <v>104444.03</v>
      </c>
      <c r="P26" s="8">
        <v>32784.69</v>
      </c>
      <c r="Q26" s="9">
        <f t="shared" si="4"/>
        <v>137228.72</v>
      </c>
      <c r="R26" s="9">
        <f t="shared" si="5"/>
        <v>1475.0200000000186</v>
      </c>
    </row>
    <row r="27" spans="1:18" ht="12.75">
      <c r="A27" s="5">
        <v>20</v>
      </c>
      <c r="B27" s="80" t="s">
        <v>40</v>
      </c>
      <c r="C27" s="80"/>
      <c r="D27" s="5">
        <v>9</v>
      </c>
      <c r="E27" s="5">
        <v>214</v>
      </c>
      <c r="F27" s="5">
        <v>6</v>
      </c>
      <c r="G27" s="5">
        <v>6</v>
      </c>
      <c r="H27" s="5">
        <v>1704.9</v>
      </c>
      <c r="I27" s="5">
        <v>1746</v>
      </c>
      <c r="J27" s="5">
        <v>6792</v>
      </c>
      <c r="K27" s="6">
        <v>10901.9</v>
      </c>
      <c r="L27" s="7">
        <v>682083.15</v>
      </c>
      <c r="M27" s="7">
        <v>214105.25</v>
      </c>
      <c r="N27" s="8">
        <f>L27+M27</f>
        <v>896188.4</v>
      </c>
      <c r="O27" s="8">
        <v>648837.06</v>
      </c>
      <c r="P27" s="8">
        <v>203669.33</v>
      </c>
      <c r="Q27" s="9">
        <f t="shared" si="4"/>
        <v>852506.39</v>
      </c>
      <c r="R27" s="9">
        <f t="shared" si="5"/>
        <v>-43682.01000000001</v>
      </c>
    </row>
    <row r="28" spans="1:18" ht="12.75">
      <c r="A28" s="5">
        <v>21</v>
      </c>
      <c r="B28" s="80" t="s">
        <v>41</v>
      </c>
      <c r="C28" s="80"/>
      <c r="D28" s="5">
        <v>9</v>
      </c>
      <c r="E28" s="5">
        <v>34</v>
      </c>
      <c r="F28" s="5">
        <v>1</v>
      </c>
      <c r="G28" s="5">
        <v>1</v>
      </c>
      <c r="H28" s="5">
        <v>294.7</v>
      </c>
      <c r="I28" s="5">
        <v>278.5</v>
      </c>
      <c r="J28" s="5">
        <v>3853</v>
      </c>
      <c r="K28" s="6">
        <v>1673.8</v>
      </c>
      <c r="L28" s="7">
        <v>104717.3</v>
      </c>
      <c r="M28" s="7">
        <v>32870.65</v>
      </c>
      <c r="N28" s="8">
        <f>L28+M28</f>
        <v>137587.95</v>
      </c>
      <c r="O28" s="8">
        <v>96776.82</v>
      </c>
      <c r="P28" s="8">
        <v>30378.14</v>
      </c>
      <c r="Q28" s="9">
        <f t="shared" si="4"/>
        <v>127154.96</v>
      </c>
      <c r="R28" s="9">
        <f t="shared" si="5"/>
        <v>-10432.990000000005</v>
      </c>
    </row>
    <row r="29" spans="1:18" ht="12.75">
      <c r="A29" s="5">
        <v>22</v>
      </c>
      <c r="B29" s="80" t="s">
        <v>42</v>
      </c>
      <c r="C29" s="80"/>
      <c r="D29" s="5">
        <v>9</v>
      </c>
      <c r="E29" s="5">
        <v>107</v>
      </c>
      <c r="F29" s="5">
        <v>3</v>
      </c>
      <c r="G29" s="5">
        <v>3</v>
      </c>
      <c r="H29" s="5">
        <v>833.4</v>
      </c>
      <c r="I29" s="5">
        <v>889.9</v>
      </c>
      <c r="J29" s="5">
        <v>3798</v>
      </c>
      <c r="K29" s="6">
        <v>5727.1</v>
      </c>
      <c r="L29" s="7">
        <v>348248.75</v>
      </c>
      <c r="M29" s="7">
        <v>109314.71</v>
      </c>
      <c r="N29" s="8">
        <f>L29+M29</f>
        <v>457563.46</v>
      </c>
      <c r="O29" s="8">
        <v>337998.43</v>
      </c>
      <c r="P29" s="8">
        <v>106097.15</v>
      </c>
      <c r="Q29" s="9">
        <f t="shared" si="4"/>
        <v>444095.57999999996</v>
      </c>
      <c r="R29" s="9">
        <f t="shared" si="5"/>
        <v>-13467.880000000063</v>
      </c>
    </row>
    <row r="30" spans="1:18" ht="12.75">
      <c r="A30" s="10"/>
      <c r="B30" s="81" t="s">
        <v>26</v>
      </c>
      <c r="C30" s="82"/>
      <c r="D30" s="10">
        <f aca="true" t="shared" si="7" ref="D30:P30">SUM(D15:D29)</f>
        <v>136</v>
      </c>
      <c r="E30" s="10">
        <f t="shared" si="7"/>
        <v>2020</v>
      </c>
      <c r="F30" s="10">
        <f t="shared" si="7"/>
        <v>57</v>
      </c>
      <c r="G30" s="10">
        <f t="shared" si="7"/>
        <v>57</v>
      </c>
      <c r="H30" s="10">
        <f t="shared" si="7"/>
        <v>16124.000000000002</v>
      </c>
      <c r="I30" s="10">
        <f t="shared" si="7"/>
        <v>16646.300000000003</v>
      </c>
      <c r="J30" s="10">
        <f t="shared" si="7"/>
        <v>82627</v>
      </c>
      <c r="K30" s="11">
        <f t="shared" si="7"/>
        <v>103727.7</v>
      </c>
      <c r="L30" s="9">
        <f t="shared" si="7"/>
        <v>6413649.510000001</v>
      </c>
      <c r="M30" s="9">
        <f t="shared" si="7"/>
        <v>2035940.3599999996</v>
      </c>
      <c r="N30" s="12">
        <f t="shared" si="7"/>
        <v>8449589.870000001</v>
      </c>
      <c r="O30" s="12">
        <f t="shared" si="7"/>
        <v>5987072.59</v>
      </c>
      <c r="P30" s="12">
        <f t="shared" si="7"/>
        <v>1901376.9099999997</v>
      </c>
      <c r="Q30" s="9">
        <f t="shared" si="4"/>
        <v>7888449.5</v>
      </c>
      <c r="R30" s="9">
        <f t="shared" si="5"/>
        <v>-561140.370000001</v>
      </c>
    </row>
    <row r="31" spans="1:18" ht="12.75">
      <c r="A31" s="10"/>
      <c r="B31" s="79" t="s">
        <v>43</v>
      </c>
      <c r="C31" s="79"/>
      <c r="D31" s="10">
        <f aca="true" t="shared" si="8" ref="D31:Q31">D13+D30</f>
        <v>171</v>
      </c>
      <c r="E31" s="10">
        <f t="shared" si="8"/>
        <v>2715</v>
      </c>
      <c r="F31" s="10">
        <f t="shared" si="8"/>
        <v>57</v>
      </c>
      <c r="G31" s="10">
        <f t="shared" si="8"/>
        <v>101</v>
      </c>
      <c r="H31" s="10">
        <f t="shared" si="8"/>
        <v>20202.800000000003</v>
      </c>
      <c r="I31" s="10">
        <f t="shared" si="8"/>
        <v>24983.000000000004</v>
      </c>
      <c r="J31" s="10">
        <f t="shared" si="8"/>
        <v>117165</v>
      </c>
      <c r="K31" s="10">
        <f t="shared" si="8"/>
        <v>134757</v>
      </c>
      <c r="L31" s="9">
        <f t="shared" si="8"/>
        <v>7774136.320000001</v>
      </c>
      <c r="M31" s="10">
        <f t="shared" si="8"/>
        <v>2474460.1799999997</v>
      </c>
      <c r="N31" s="9">
        <f t="shared" si="8"/>
        <v>10248596.5</v>
      </c>
      <c r="O31" s="9">
        <f t="shared" si="8"/>
        <v>7258053.25</v>
      </c>
      <c r="P31" s="10">
        <f t="shared" si="8"/>
        <v>2311046.61</v>
      </c>
      <c r="Q31" s="9">
        <f t="shared" si="8"/>
        <v>9569099.86</v>
      </c>
      <c r="R31" s="9">
        <f t="shared" si="5"/>
        <v>-679496.6400000006</v>
      </c>
    </row>
    <row r="32" spans="1:18" ht="12.75">
      <c r="A32" s="13"/>
      <c r="B32" s="14"/>
      <c r="C32" s="14"/>
      <c r="D32" s="13"/>
      <c r="E32" s="15"/>
      <c r="F32" s="15"/>
      <c r="G32" s="15"/>
      <c r="H32" s="16"/>
      <c r="I32" s="16"/>
      <c r="J32" s="16"/>
      <c r="K32" s="16"/>
      <c r="L32" s="16"/>
      <c r="M32" s="16"/>
      <c r="N32" s="17"/>
      <c r="O32" s="17"/>
      <c r="P32" s="17"/>
      <c r="Q32" s="17"/>
      <c r="R32" s="17"/>
    </row>
    <row r="33" spans="1:18" ht="12.75">
      <c r="A33" s="13"/>
      <c r="B33" s="14"/>
      <c r="C33" s="14"/>
      <c r="D33" s="13"/>
      <c r="E33" s="15"/>
      <c r="F33" s="15"/>
      <c r="G33" s="15"/>
      <c r="H33" s="16"/>
      <c r="I33" s="16"/>
      <c r="J33" s="16"/>
      <c r="K33" s="16"/>
      <c r="L33" s="16"/>
      <c r="M33" s="16"/>
      <c r="N33" s="17"/>
      <c r="O33" s="17"/>
      <c r="P33" s="17"/>
      <c r="Q33" s="17"/>
      <c r="R33" s="17"/>
    </row>
    <row r="34" spans="1:16" ht="12.75">
      <c r="A34" s="1"/>
      <c r="K34" s="3"/>
      <c r="L34" s="1"/>
      <c r="M34" s="1"/>
      <c r="N34" s="1"/>
      <c r="O34" s="1"/>
      <c r="P34" s="1"/>
    </row>
    <row r="35" spans="1:16" ht="12.75">
      <c r="A35" s="1"/>
      <c r="B35" t="s">
        <v>44</v>
      </c>
      <c r="H35" s="3"/>
      <c r="K35" s="3"/>
      <c r="L35" s="1"/>
      <c r="M35" s="1"/>
      <c r="N35" s="1"/>
      <c r="O35" s="1"/>
      <c r="P35" s="1"/>
    </row>
  </sheetData>
  <sheetProtection/>
  <mergeCells count="43">
    <mergeCell ref="C1:M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B11:C11"/>
    <mergeCell ref="B12:C12"/>
    <mergeCell ref="Q3:Q4"/>
    <mergeCell ref="R3:R4"/>
    <mergeCell ref="A5:R5"/>
    <mergeCell ref="B6:C6"/>
    <mergeCell ref="K3:K4"/>
    <mergeCell ref="L3:M3"/>
    <mergeCell ref="N3:N4"/>
    <mergeCell ref="O3:P3"/>
    <mergeCell ref="B7:C7"/>
    <mergeCell ref="B8:C8"/>
    <mergeCell ref="B9:C9"/>
    <mergeCell ref="B10:C10"/>
    <mergeCell ref="B17:C17"/>
    <mergeCell ref="B18:C18"/>
    <mergeCell ref="B19:C19"/>
    <mergeCell ref="B20:C20"/>
    <mergeCell ref="B13:C13"/>
    <mergeCell ref="A14:R14"/>
    <mergeCell ref="B15:C15"/>
    <mergeCell ref="B16:C16"/>
    <mergeCell ref="B21:C21"/>
    <mergeCell ref="B22:C22"/>
    <mergeCell ref="B25:C25"/>
    <mergeCell ref="B26:C26"/>
    <mergeCell ref="B23:C23"/>
    <mergeCell ref="B24:C24"/>
    <mergeCell ref="B31:C31"/>
    <mergeCell ref="B27:C27"/>
    <mergeCell ref="B28:C28"/>
    <mergeCell ref="B29:C29"/>
    <mergeCell ref="B30:C3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C13">
      <selection activeCell="Q32" sqref="Q32"/>
    </sheetView>
  </sheetViews>
  <sheetFormatPr defaultColWidth="9.00390625" defaultRowHeight="12.75"/>
  <cols>
    <col min="1" max="1" width="3.375" style="0" customWidth="1"/>
    <col min="3" max="3" width="2.625" style="0" customWidth="1"/>
    <col min="4" max="4" width="4.125" style="0" customWidth="1"/>
    <col min="5" max="5" width="5.375" style="0" customWidth="1"/>
    <col min="6" max="6" width="4.125" style="0" customWidth="1"/>
    <col min="7" max="7" width="4.25390625" style="0" customWidth="1"/>
    <col min="8" max="8" width="8.125" style="0" customWidth="1"/>
    <col min="9" max="10" width="7.75390625" style="0" customWidth="1"/>
    <col min="12" max="12" width="11.25390625" style="0" customWidth="1"/>
    <col min="13" max="13" width="10.125" style="0" customWidth="1"/>
    <col min="14" max="14" width="11.125" style="0" customWidth="1"/>
    <col min="15" max="15" width="11.625" style="0" customWidth="1"/>
    <col min="16" max="16" width="10.875" style="0" customWidth="1"/>
    <col min="17" max="18" width="11.375" style="0" customWidth="1"/>
  </cols>
  <sheetData>
    <row r="1" spans="1:18" ht="12.75">
      <c r="A1" s="1"/>
      <c r="C1" s="92" t="s">
        <v>50</v>
      </c>
      <c r="D1" s="92"/>
      <c r="E1" s="92"/>
      <c r="F1" s="92"/>
      <c r="G1" s="92"/>
      <c r="H1" s="92"/>
      <c r="I1" s="92"/>
      <c r="J1" s="93"/>
      <c r="K1" s="93"/>
      <c r="L1" s="93"/>
      <c r="M1" s="93"/>
      <c r="N1" s="1"/>
      <c r="O1" s="1"/>
      <c r="P1" s="1"/>
      <c r="R1" s="2"/>
    </row>
    <row r="2" spans="1:18" ht="12.75">
      <c r="A2" s="1"/>
      <c r="C2" s="1"/>
      <c r="D2" s="1"/>
      <c r="E2" s="1"/>
      <c r="F2" s="1"/>
      <c r="G2" s="1"/>
      <c r="H2" s="1"/>
      <c r="I2" s="1"/>
      <c r="J2" s="1"/>
      <c r="K2" s="3"/>
      <c r="L2" s="1"/>
      <c r="M2" s="1"/>
      <c r="N2" s="1"/>
      <c r="O2" s="1"/>
      <c r="P2" s="1"/>
      <c r="R2" s="2"/>
    </row>
    <row r="3" spans="1:18" ht="12.75">
      <c r="A3" s="94" t="s">
        <v>1</v>
      </c>
      <c r="B3" s="95" t="s">
        <v>2</v>
      </c>
      <c r="C3" s="95"/>
      <c r="D3" s="96" t="s">
        <v>3</v>
      </c>
      <c r="E3" s="97" t="s">
        <v>4</v>
      </c>
      <c r="F3" s="97" t="s">
        <v>5</v>
      </c>
      <c r="G3" s="97" t="s">
        <v>6</v>
      </c>
      <c r="H3" s="97" t="s">
        <v>7</v>
      </c>
      <c r="I3" s="97" t="s">
        <v>8</v>
      </c>
      <c r="J3" s="97" t="s">
        <v>9</v>
      </c>
      <c r="K3" s="86" t="s">
        <v>10</v>
      </c>
      <c r="L3" s="87" t="s">
        <v>11</v>
      </c>
      <c r="M3" s="88"/>
      <c r="N3" s="89" t="s">
        <v>12</v>
      </c>
      <c r="O3" s="91" t="s">
        <v>13</v>
      </c>
      <c r="P3" s="91"/>
      <c r="Q3" s="77" t="s">
        <v>14</v>
      </c>
      <c r="R3" s="77" t="s">
        <v>15</v>
      </c>
    </row>
    <row r="4" spans="1:18" ht="65.25" customHeight="1">
      <c r="A4" s="94"/>
      <c r="B4" s="95"/>
      <c r="C4" s="95"/>
      <c r="D4" s="96"/>
      <c r="E4" s="97"/>
      <c r="F4" s="97"/>
      <c r="G4" s="97"/>
      <c r="H4" s="97"/>
      <c r="I4" s="97"/>
      <c r="J4" s="97"/>
      <c r="K4" s="86"/>
      <c r="L4" s="4" t="s">
        <v>16</v>
      </c>
      <c r="M4" s="4" t="s">
        <v>17</v>
      </c>
      <c r="N4" s="90"/>
      <c r="O4" s="4" t="s">
        <v>16</v>
      </c>
      <c r="P4" s="4" t="s">
        <v>17</v>
      </c>
      <c r="Q4" s="78"/>
      <c r="R4" s="78"/>
    </row>
    <row r="5" spans="1:18" ht="12.75">
      <c r="A5" s="83" t="s">
        <v>18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5"/>
    </row>
    <row r="6" spans="1:18" ht="12.75">
      <c r="A6" s="5">
        <v>1</v>
      </c>
      <c r="B6" s="80" t="s">
        <v>19</v>
      </c>
      <c r="C6" s="80"/>
      <c r="D6" s="5">
        <v>5</v>
      </c>
      <c r="E6" s="5">
        <v>77</v>
      </c>
      <c r="F6" s="5"/>
      <c r="G6" s="5">
        <v>5</v>
      </c>
      <c r="H6" s="5">
        <v>445.8</v>
      </c>
      <c r="I6" s="5">
        <v>964.3</v>
      </c>
      <c r="J6" s="5">
        <v>4343</v>
      </c>
      <c r="K6" s="6">
        <v>3540.8</v>
      </c>
      <c r="L6" s="7">
        <v>184949.28</v>
      </c>
      <c r="M6" s="7">
        <v>59614.14</v>
      </c>
      <c r="N6" s="8">
        <f aca="true" t="shared" si="0" ref="N6:N12">L6+M6</f>
        <v>244563.41999999998</v>
      </c>
      <c r="O6" s="8">
        <v>172618.73</v>
      </c>
      <c r="P6" s="8">
        <v>55639.67</v>
      </c>
      <c r="Q6" s="9">
        <f aca="true" t="shared" si="1" ref="Q6:Q12">SUM(O6:P6)</f>
        <v>228258.40000000002</v>
      </c>
      <c r="R6" s="9">
        <f aca="true" t="shared" si="2" ref="R6:R13">Q6-N6</f>
        <v>-16305.01999999996</v>
      </c>
    </row>
    <row r="7" spans="1:18" ht="12.75">
      <c r="A7" s="5">
        <v>2</v>
      </c>
      <c r="B7" s="80" t="s">
        <v>20</v>
      </c>
      <c r="C7" s="80"/>
      <c r="D7" s="5">
        <v>5</v>
      </c>
      <c r="E7" s="5">
        <v>50</v>
      </c>
      <c r="F7" s="5"/>
      <c r="G7" s="5">
        <v>3</v>
      </c>
      <c r="H7" s="5">
        <v>305.7</v>
      </c>
      <c r="I7" s="5">
        <v>620.2</v>
      </c>
      <c r="J7" s="5">
        <v>3263</v>
      </c>
      <c r="K7" s="6">
        <v>2291.9</v>
      </c>
      <c r="L7" s="7">
        <v>119479.24</v>
      </c>
      <c r="M7" s="7">
        <v>38511.34</v>
      </c>
      <c r="N7" s="8">
        <f t="shared" si="0"/>
        <v>157990.58000000002</v>
      </c>
      <c r="O7" s="8">
        <v>105984.59</v>
      </c>
      <c r="P7" s="8">
        <v>34161.65</v>
      </c>
      <c r="Q7" s="9">
        <f t="shared" si="1"/>
        <v>140146.24</v>
      </c>
      <c r="R7" s="9">
        <f t="shared" si="2"/>
        <v>-17844.340000000026</v>
      </c>
    </row>
    <row r="8" spans="1:18" ht="12.75">
      <c r="A8" s="5">
        <v>3</v>
      </c>
      <c r="B8" s="80" t="s">
        <v>21</v>
      </c>
      <c r="C8" s="80"/>
      <c r="D8" s="5">
        <v>5</v>
      </c>
      <c r="E8" s="5">
        <v>100</v>
      </c>
      <c r="F8" s="5"/>
      <c r="G8" s="5">
        <v>6</v>
      </c>
      <c r="H8" s="5">
        <v>620</v>
      </c>
      <c r="I8" s="5">
        <v>1231.7</v>
      </c>
      <c r="J8" s="5">
        <v>5382</v>
      </c>
      <c r="K8" s="6">
        <v>4552.2</v>
      </c>
      <c r="L8" s="7">
        <v>240561.2</v>
      </c>
      <c r="M8" s="7">
        <v>77538.76</v>
      </c>
      <c r="N8" s="8">
        <f t="shared" si="0"/>
        <v>318099.96</v>
      </c>
      <c r="O8" s="8">
        <v>218941.85</v>
      </c>
      <c r="P8" s="8">
        <v>70570.31</v>
      </c>
      <c r="Q8" s="9">
        <f t="shared" si="1"/>
        <v>289512.16000000003</v>
      </c>
      <c r="R8" s="9">
        <f t="shared" si="2"/>
        <v>-28587.79999999999</v>
      </c>
    </row>
    <row r="9" spans="1:18" ht="12.75">
      <c r="A9" s="5">
        <v>4</v>
      </c>
      <c r="B9" s="80" t="s">
        <v>22</v>
      </c>
      <c r="C9" s="80"/>
      <c r="D9" s="5">
        <v>5</v>
      </c>
      <c r="E9" s="5">
        <v>109</v>
      </c>
      <c r="F9" s="5"/>
      <c r="G9" s="5">
        <v>7</v>
      </c>
      <c r="H9" s="5">
        <v>679.8</v>
      </c>
      <c r="I9" s="5">
        <v>1296.8</v>
      </c>
      <c r="J9" s="5">
        <v>4094</v>
      </c>
      <c r="K9" s="6">
        <v>4821.2</v>
      </c>
      <c r="L9" s="7">
        <v>255046.55</v>
      </c>
      <c r="M9" s="7">
        <v>82208.04</v>
      </c>
      <c r="N9" s="8">
        <f t="shared" si="0"/>
        <v>337254.58999999997</v>
      </c>
      <c r="O9" s="8">
        <v>239431.69</v>
      </c>
      <c r="P9" s="8">
        <v>77174.97</v>
      </c>
      <c r="Q9" s="9">
        <f t="shared" si="1"/>
        <v>316606.66000000003</v>
      </c>
      <c r="R9" s="9">
        <f t="shared" si="2"/>
        <v>-20647.929999999935</v>
      </c>
    </row>
    <row r="10" spans="1:18" ht="12.75">
      <c r="A10" s="5">
        <v>5</v>
      </c>
      <c r="B10" s="80" t="s">
        <v>23</v>
      </c>
      <c r="C10" s="80"/>
      <c r="D10" s="5">
        <v>5</v>
      </c>
      <c r="E10" s="5">
        <v>139</v>
      </c>
      <c r="F10" s="5"/>
      <c r="G10" s="5">
        <v>9</v>
      </c>
      <c r="H10" s="5">
        <v>788.1</v>
      </c>
      <c r="I10" s="5">
        <v>1632.4</v>
      </c>
      <c r="J10" s="5">
        <v>6410</v>
      </c>
      <c r="K10" s="6">
        <v>6145.2</v>
      </c>
      <c r="L10" s="7">
        <v>324122.56</v>
      </c>
      <c r="M10" s="7">
        <v>104472.82</v>
      </c>
      <c r="N10" s="8">
        <f t="shared" si="0"/>
        <v>428595.38</v>
      </c>
      <c r="O10" s="8">
        <v>306536.5</v>
      </c>
      <c r="P10" s="8">
        <v>98804.39</v>
      </c>
      <c r="Q10" s="9">
        <f t="shared" si="1"/>
        <v>405340.89</v>
      </c>
      <c r="R10" s="9">
        <f t="shared" si="2"/>
        <v>-23254.48999999999</v>
      </c>
    </row>
    <row r="11" spans="1:18" ht="12.75">
      <c r="A11" s="5">
        <v>6</v>
      </c>
      <c r="B11" s="80" t="s">
        <v>24</v>
      </c>
      <c r="C11" s="80"/>
      <c r="D11" s="5">
        <v>5</v>
      </c>
      <c r="E11" s="5">
        <v>110</v>
      </c>
      <c r="F11" s="5"/>
      <c r="G11" s="5">
        <v>7</v>
      </c>
      <c r="H11" s="5">
        <v>609.7</v>
      </c>
      <c r="I11" s="5">
        <v>1282.6</v>
      </c>
      <c r="J11" s="5">
        <v>5832</v>
      </c>
      <c r="K11" s="6">
        <v>4850.2</v>
      </c>
      <c r="L11" s="7">
        <v>254081.22</v>
      </c>
      <c r="M11" s="7">
        <v>81896.82</v>
      </c>
      <c r="N11" s="8">
        <f t="shared" si="0"/>
        <v>335978.04000000004</v>
      </c>
      <c r="O11" s="8">
        <v>235138.58</v>
      </c>
      <c r="P11" s="8">
        <v>75791.13</v>
      </c>
      <c r="Q11" s="9">
        <f t="shared" si="1"/>
        <v>310929.70999999996</v>
      </c>
      <c r="R11" s="9">
        <f t="shared" si="2"/>
        <v>-25048.330000000075</v>
      </c>
    </row>
    <row r="12" spans="1:18" ht="12.75">
      <c r="A12" s="5">
        <v>7</v>
      </c>
      <c r="B12" s="80" t="s">
        <v>25</v>
      </c>
      <c r="C12" s="80"/>
      <c r="D12" s="5">
        <v>5</v>
      </c>
      <c r="E12" s="5">
        <v>110</v>
      </c>
      <c r="F12" s="5"/>
      <c r="G12" s="5">
        <v>7</v>
      </c>
      <c r="H12" s="5">
        <v>629.7</v>
      </c>
      <c r="I12" s="5">
        <v>1308.7</v>
      </c>
      <c r="J12" s="5">
        <v>5214</v>
      </c>
      <c r="K12" s="6">
        <v>4827.8</v>
      </c>
      <c r="L12" s="7">
        <v>254095.84</v>
      </c>
      <c r="M12" s="7">
        <v>81901.83</v>
      </c>
      <c r="N12" s="8">
        <f t="shared" si="0"/>
        <v>335997.67</v>
      </c>
      <c r="O12" s="8">
        <v>239838.26</v>
      </c>
      <c r="P12" s="8">
        <v>77306.24</v>
      </c>
      <c r="Q12" s="9">
        <f t="shared" si="1"/>
        <v>317144.5</v>
      </c>
      <c r="R12" s="9">
        <f t="shared" si="2"/>
        <v>-18853.169999999984</v>
      </c>
    </row>
    <row r="13" spans="1:18" ht="12.75">
      <c r="A13" s="10"/>
      <c r="B13" s="81" t="s">
        <v>26</v>
      </c>
      <c r="C13" s="82"/>
      <c r="D13" s="10">
        <f>SUM(D6:D12)</f>
        <v>35</v>
      </c>
      <c r="E13" s="10">
        <f>SUM(E6:E12)</f>
        <v>695</v>
      </c>
      <c r="F13" s="10"/>
      <c r="G13" s="10">
        <f aca="true" t="shared" si="3" ref="G13:Q13">SUM(G6:G12)</f>
        <v>44</v>
      </c>
      <c r="H13" s="10">
        <f t="shared" si="3"/>
        <v>4078.8</v>
      </c>
      <c r="I13" s="10">
        <f t="shared" si="3"/>
        <v>8336.7</v>
      </c>
      <c r="J13" s="10">
        <f t="shared" si="3"/>
        <v>34538</v>
      </c>
      <c r="K13" s="11">
        <f t="shared" si="3"/>
        <v>31029.300000000003</v>
      </c>
      <c r="L13" s="9">
        <f t="shared" si="3"/>
        <v>1632335.8900000001</v>
      </c>
      <c r="M13" s="9">
        <f t="shared" si="3"/>
        <v>526143.75</v>
      </c>
      <c r="N13" s="12">
        <f t="shared" si="3"/>
        <v>2158479.6399999997</v>
      </c>
      <c r="O13" s="12">
        <f t="shared" si="3"/>
        <v>1518490.2000000002</v>
      </c>
      <c r="P13" s="12">
        <f t="shared" si="3"/>
        <v>489448.36</v>
      </c>
      <c r="Q13" s="9">
        <f t="shared" si="3"/>
        <v>2007938.56</v>
      </c>
      <c r="R13" s="9">
        <f t="shared" si="2"/>
        <v>-150541.0799999996</v>
      </c>
    </row>
    <row r="14" spans="1:18" ht="12.75">
      <c r="A14" s="83" t="s">
        <v>27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5"/>
    </row>
    <row r="15" spans="1:18" ht="12.75">
      <c r="A15" s="5">
        <v>8</v>
      </c>
      <c r="B15" s="80" t="s">
        <v>28</v>
      </c>
      <c r="C15" s="80"/>
      <c r="D15" s="5">
        <v>9</v>
      </c>
      <c r="E15" s="5">
        <v>172</v>
      </c>
      <c r="F15" s="5">
        <v>5</v>
      </c>
      <c r="G15" s="5">
        <v>5</v>
      </c>
      <c r="H15" s="5">
        <v>1343.8</v>
      </c>
      <c r="I15" s="5">
        <v>1470.1</v>
      </c>
      <c r="J15" s="5">
        <v>4278</v>
      </c>
      <c r="K15" s="6">
        <v>8863</v>
      </c>
      <c r="L15" s="7">
        <v>576669.64</v>
      </c>
      <c r="M15" s="7">
        <v>208260.99</v>
      </c>
      <c r="N15" s="8">
        <f>L15+M15</f>
        <v>784930.63</v>
      </c>
      <c r="O15" s="8">
        <v>566819.53</v>
      </c>
      <c r="P15" s="8">
        <v>204703.68</v>
      </c>
      <c r="Q15" s="9">
        <f aca="true" t="shared" si="4" ref="Q15:Q30">SUM(O15:P15)</f>
        <v>771523.21</v>
      </c>
      <c r="R15" s="9">
        <f aca="true" t="shared" si="5" ref="R15:R31">Q15-N15</f>
        <v>-13407.420000000042</v>
      </c>
    </row>
    <row r="16" spans="1:18" ht="12.75">
      <c r="A16" s="5">
        <v>9</v>
      </c>
      <c r="B16" s="80" t="s">
        <v>29</v>
      </c>
      <c r="C16" s="80"/>
      <c r="D16" s="5">
        <v>10</v>
      </c>
      <c r="E16" s="5">
        <v>78</v>
      </c>
      <c r="F16" s="5">
        <v>2</v>
      </c>
      <c r="G16" s="5">
        <v>2</v>
      </c>
      <c r="H16" s="5">
        <v>623.5</v>
      </c>
      <c r="I16" s="5">
        <v>600.5</v>
      </c>
      <c r="J16" s="5">
        <v>1933</v>
      </c>
      <c r="K16" s="6">
        <v>4147.2</v>
      </c>
      <c r="L16" s="7">
        <v>311885.58</v>
      </c>
      <c r="M16" s="7">
        <v>97900.5</v>
      </c>
      <c r="N16" s="8">
        <f>L16+M16</f>
        <v>409786.08</v>
      </c>
      <c r="O16" s="8">
        <v>303778.37</v>
      </c>
      <c r="P16" s="8">
        <v>95355.66</v>
      </c>
      <c r="Q16" s="9">
        <f t="shared" si="4"/>
        <v>399134.03</v>
      </c>
      <c r="R16" s="9">
        <f t="shared" si="5"/>
        <v>-10652.049999999988</v>
      </c>
    </row>
    <row r="17" spans="1:18" ht="12.75">
      <c r="A17" s="5">
        <v>10</v>
      </c>
      <c r="B17" s="80" t="s">
        <v>30</v>
      </c>
      <c r="C17" s="80"/>
      <c r="D17" s="5">
        <v>9</v>
      </c>
      <c r="E17" s="5">
        <v>142</v>
      </c>
      <c r="F17" s="5">
        <v>4</v>
      </c>
      <c r="G17" s="5">
        <v>4</v>
      </c>
      <c r="H17" s="5">
        <v>1082.2</v>
      </c>
      <c r="I17" s="5">
        <v>1170.7</v>
      </c>
      <c r="J17" s="5">
        <v>5957</v>
      </c>
      <c r="K17" s="6">
        <v>7266.7</v>
      </c>
      <c r="L17" s="7">
        <v>545611.75</v>
      </c>
      <c r="M17" s="7">
        <v>171267.22</v>
      </c>
      <c r="N17" s="8">
        <f>L17+M17</f>
        <v>716878.97</v>
      </c>
      <c r="O17" s="8">
        <v>514839.01</v>
      </c>
      <c r="P17" s="8">
        <v>161607.68</v>
      </c>
      <c r="Q17" s="9">
        <f t="shared" si="4"/>
        <v>676446.69</v>
      </c>
      <c r="R17" s="9">
        <f t="shared" si="5"/>
        <v>-40432.28000000003</v>
      </c>
    </row>
    <row r="18" spans="1:18" ht="12.75">
      <c r="A18" s="5">
        <v>11</v>
      </c>
      <c r="B18" s="80" t="s">
        <v>31</v>
      </c>
      <c r="C18" s="80"/>
      <c r="D18" s="5">
        <v>9</v>
      </c>
      <c r="E18" s="5">
        <v>34</v>
      </c>
      <c r="F18" s="5">
        <v>1</v>
      </c>
      <c r="G18" s="5">
        <v>1</v>
      </c>
      <c r="H18" s="5">
        <v>670.3</v>
      </c>
      <c r="I18" s="5">
        <v>280.2</v>
      </c>
      <c r="J18" s="5">
        <v>3515</v>
      </c>
      <c r="K18" s="6">
        <v>1640.1</v>
      </c>
      <c r="L18" s="7">
        <v>123797.64</v>
      </c>
      <c r="M18" s="7">
        <v>38859.96</v>
      </c>
      <c r="N18" s="8">
        <f>SUM(L18:M18)</f>
        <v>162657.6</v>
      </c>
      <c r="O18" s="8">
        <v>119401.37</v>
      </c>
      <c r="P18" s="8">
        <v>37479.98</v>
      </c>
      <c r="Q18" s="9">
        <f t="shared" si="4"/>
        <v>156881.35</v>
      </c>
      <c r="R18" s="9">
        <f t="shared" si="5"/>
        <v>-5776.25</v>
      </c>
    </row>
    <row r="19" spans="1:18" ht="12.75">
      <c r="A19" s="5">
        <v>12</v>
      </c>
      <c r="B19" s="80" t="s">
        <v>32</v>
      </c>
      <c r="C19" s="80"/>
      <c r="D19" s="5">
        <v>9</v>
      </c>
      <c r="E19" s="5">
        <v>213</v>
      </c>
      <c r="F19" s="5">
        <v>6</v>
      </c>
      <c r="G19" s="5">
        <v>6</v>
      </c>
      <c r="H19" s="5">
        <v>1637.3</v>
      </c>
      <c r="I19" s="5">
        <v>1762.4</v>
      </c>
      <c r="J19" s="5">
        <v>7777</v>
      </c>
      <c r="K19" s="6">
        <v>10994.5</v>
      </c>
      <c r="L19" s="7">
        <v>826701.34</v>
      </c>
      <c r="M19" s="7">
        <v>259499.63</v>
      </c>
      <c r="N19" s="8">
        <f aca="true" t="shared" si="6" ref="N19:N25">L19+M19</f>
        <v>1086200.97</v>
      </c>
      <c r="O19" s="8">
        <v>753296.52</v>
      </c>
      <c r="P19" s="8">
        <v>236458.03</v>
      </c>
      <c r="Q19" s="9">
        <f t="shared" si="4"/>
        <v>989754.55</v>
      </c>
      <c r="R19" s="9">
        <f t="shared" si="5"/>
        <v>-96446.41999999993</v>
      </c>
    </row>
    <row r="20" spans="1:18" ht="12.75">
      <c r="A20" s="5">
        <v>13</v>
      </c>
      <c r="B20" s="80" t="s">
        <v>33</v>
      </c>
      <c r="C20" s="80"/>
      <c r="D20" s="5">
        <v>9</v>
      </c>
      <c r="E20" s="5">
        <v>35</v>
      </c>
      <c r="F20" s="5">
        <v>1</v>
      </c>
      <c r="G20" s="5">
        <v>1</v>
      </c>
      <c r="H20" s="5">
        <v>282.4</v>
      </c>
      <c r="I20" s="5">
        <v>281.6</v>
      </c>
      <c r="J20" s="5">
        <v>2272</v>
      </c>
      <c r="K20" s="6">
        <v>1789.8</v>
      </c>
      <c r="L20" s="7">
        <v>129642.12</v>
      </c>
      <c r="M20" s="7">
        <v>40694.58</v>
      </c>
      <c r="N20" s="8">
        <f t="shared" si="6"/>
        <v>170336.7</v>
      </c>
      <c r="O20" s="8">
        <v>135787.55</v>
      </c>
      <c r="P20" s="8">
        <v>42623.63</v>
      </c>
      <c r="Q20" s="9">
        <f t="shared" si="4"/>
        <v>178411.18</v>
      </c>
      <c r="R20" s="9">
        <f t="shared" si="5"/>
        <v>8074.479999999981</v>
      </c>
    </row>
    <row r="21" spans="1:18" ht="12.75">
      <c r="A21" s="5">
        <v>14</v>
      </c>
      <c r="B21" s="80" t="s">
        <v>34</v>
      </c>
      <c r="C21" s="80"/>
      <c r="D21" s="5">
        <v>9</v>
      </c>
      <c r="E21" s="5">
        <v>177</v>
      </c>
      <c r="F21" s="5">
        <v>5</v>
      </c>
      <c r="G21" s="5">
        <v>5</v>
      </c>
      <c r="H21" s="5">
        <v>1360.2</v>
      </c>
      <c r="I21" s="5">
        <v>1464.1</v>
      </c>
      <c r="J21" s="5">
        <v>9415</v>
      </c>
      <c r="K21" s="6">
        <v>9174.2</v>
      </c>
      <c r="L21" s="7">
        <v>691389.06</v>
      </c>
      <c r="M21" s="7">
        <v>217026.48</v>
      </c>
      <c r="N21" s="8">
        <f t="shared" si="6"/>
        <v>908415.54</v>
      </c>
      <c r="O21" s="8">
        <v>648069.12</v>
      </c>
      <c r="P21" s="8">
        <v>203428.38</v>
      </c>
      <c r="Q21" s="9">
        <f t="shared" si="4"/>
        <v>851497.5</v>
      </c>
      <c r="R21" s="9">
        <f t="shared" si="5"/>
        <v>-56918.04000000004</v>
      </c>
    </row>
    <row r="22" spans="1:18" ht="12.75">
      <c r="A22" s="5">
        <v>15</v>
      </c>
      <c r="B22" s="80" t="s">
        <v>35</v>
      </c>
      <c r="C22" s="80"/>
      <c r="D22" s="5">
        <v>9</v>
      </c>
      <c r="E22" s="5">
        <v>213</v>
      </c>
      <c r="F22" s="5">
        <v>6</v>
      </c>
      <c r="G22" s="5">
        <v>6</v>
      </c>
      <c r="H22" s="5">
        <v>1665.5</v>
      </c>
      <c r="I22" s="5">
        <v>1760.1</v>
      </c>
      <c r="J22" s="5">
        <v>9999</v>
      </c>
      <c r="K22" s="6">
        <v>11065</v>
      </c>
      <c r="L22" s="7">
        <v>831797.22</v>
      </c>
      <c r="M22" s="7">
        <v>261100.23</v>
      </c>
      <c r="N22" s="8">
        <f t="shared" si="6"/>
        <v>1092897.45</v>
      </c>
      <c r="O22" s="8">
        <v>768079.33</v>
      </c>
      <c r="P22" s="8">
        <v>241099.25</v>
      </c>
      <c r="Q22" s="9">
        <f t="shared" si="4"/>
        <v>1009178.58</v>
      </c>
      <c r="R22" s="9">
        <f t="shared" si="5"/>
        <v>-83718.87</v>
      </c>
    </row>
    <row r="23" spans="1:18" ht="12.75">
      <c r="A23" s="5">
        <v>16</v>
      </c>
      <c r="B23" s="80" t="s">
        <v>36</v>
      </c>
      <c r="C23" s="80"/>
      <c r="D23" s="5">
        <v>9</v>
      </c>
      <c r="E23" s="5">
        <v>213</v>
      </c>
      <c r="F23" s="5">
        <v>6</v>
      </c>
      <c r="G23" s="5">
        <v>6</v>
      </c>
      <c r="H23" s="5">
        <v>1684.1</v>
      </c>
      <c r="I23" s="5">
        <v>1750.2</v>
      </c>
      <c r="J23" s="5">
        <v>7454</v>
      </c>
      <c r="K23" s="6">
        <v>10840.2</v>
      </c>
      <c r="L23" s="7">
        <v>813808.62</v>
      </c>
      <c r="M23" s="7">
        <v>255453.15</v>
      </c>
      <c r="N23" s="8">
        <f t="shared" si="6"/>
        <v>1069261.77</v>
      </c>
      <c r="O23" s="8">
        <v>762334.98</v>
      </c>
      <c r="P23" s="8">
        <v>239295.66</v>
      </c>
      <c r="Q23" s="9">
        <f t="shared" si="4"/>
        <v>1001630.64</v>
      </c>
      <c r="R23" s="9">
        <f t="shared" si="5"/>
        <v>-67631.13</v>
      </c>
    </row>
    <row r="24" spans="1:18" ht="12.75">
      <c r="A24" s="5">
        <v>17</v>
      </c>
      <c r="B24" s="80" t="s">
        <v>37</v>
      </c>
      <c r="C24" s="80"/>
      <c r="D24" s="5">
        <v>9</v>
      </c>
      <c r="E24" s="5">
        <v>142</v>
      </c>
      <c r="F24" s="5">
        <v>4</v>
      </c>
      <c r="G24" s="5">
        <v>4</v>
      </c>
      <c r="H24" s="5">
        <v>946.4</v>
      </c>
      <c r="I24" s="5">
        <v>1159.4</v>
      </c>
      <c r="J24" s="5">
        <v>6191</v>
      </c>
      <c r="K24" s="6">
        <v>7173.2</v>
      </c>
      <c r="L24" s="7">
        <v>542088.43</v>
      </c>
      <c r="M24" s="7">
        <v>170161.2</v>
      </c>
      <c r="N24" s="8">
        <f>SUM(L24:M24)</f>
        <v>712249.6300000001</v>
      </c>
      <c r="O24" s="8">
        <v>461627.23</v>
      </c>
      <c r="P24" s="8">
        <v>144904.48</v>
      </c>
      <c r="Q24" s="9">
        <f t="shared" si="4"/>
        <v>606531.71</v>
      </c>
      <c r="R24" s="9">
        <f t="shared" si="5"/>
        <v>-105717.92000000016</v>
      </c>
    </row>
    <row r="25" spans="1:18" ht="12.75">
      <c r="A25" s="5">
        <v>18</v>
      </c>
      <c r="B25" s="80" t="s">
        <v>38</v>
      </c>
      <c r="C25" s="80"/>
      <c r="D25" s="5">
        <v>9</v>
      </c>
      <c r="E25" s="5">
        <v>212</v>
      </c>
      <c r="F25" s="5">
        <v>6</v>
      </c>
      <c r="G25" s="5">
        <v>6</v>
      </c>
      <c r="H25" s="5">
        <v>1708.1</v>
      </c>
      <c r="I25" s="5">
        <v>1751.9</v>
      </c>
      <c r="J25" s="5">
        <v>6532</v>
      </c>
      <c r="K25" s="6">
        <v>10814.2</v>
      </c>
      <c r="L25" s="7">
        <v>817159.69</v>
      </c>
      <c r="M25" s="7">
        <v>256505.38</v>
      </c>
      <c r="N25" s="8">
        <f t="shared" si="6"/>
        <v>1073665.0699999998</v>
      </c>
      <c r="O25" s="8">
        <v>745878.84</v>
      </c>
      <c r="P25" s="8">
        <v>234130.41</v>
      </c>
      <c r="Q25" s="9">
        <f t="shared" si="4"/>
        <v>980009.25</v>
      </c>
      <c r="R25" s="9">
        <f t="shared" si="5"/>
        <v>-93655.81999999983</v>
      </c>
    </row>
    <row r="26" spans="1:18" ht="12.75">
      <c r="A26" s="5">
        <v>19</v>
      </c>
      <c r="B26" s="80" t="s">
        <v>39</v>
      </c>
      <c r="C26" s="80"/>
      <c r="D26" s="5">
        <v>9</v>
      </c>
      <c r="E26" s="5">
        <v>34</v>
      </c>
      <c r="F26" s="5">
        <v>1</v>
      </c>
      <c r="G26" s="5">
        <v>1</v>
      </c>
      <c r="H26" s="5">
        <v>287.2</v>
      </c>
      <c r="I26" s="5">
        <v>280.7</v>
      </c>
      <c r="J26" s="5">
        <v>2861</v>
      </c>
      <c r="K26" s="6">
        <v>1656.8</v>
      </c>
      <c r="L26" s="7">
        <v>123985.68</v>
      </c>
      <c r="M26" s="7">
        <v>38918.76</v>
      </c>
      <c r="N26" s="8">
        <f>SUM(L26:M26)</f>
        <v>162904.44</v>
      </c>
      <c r="O26" s="8">
        <v>125698.04</v>
      </c>
      <c r="P26" s="8">
        <v>39456.26</v>
      </c>
      <c r="Q26" s="9">
        <f t="shared" si="4"/>
        <v>165154.3</v>
      </c>
      <c r="R26" s="9">
        <f t="shared" si="5"/>
        <v>2249.859999999986</v>
      </c>
    </row>
    <row r="27" spans="1:18" ht="12.75">
      <c r="A27" s="5">
        <v>20</v>
      </c>
      <c r="B27" s="80" t="s">
        <v>40</v>
      </c>
      <c r="C27" s="80"/>
      <c r="D27" s="5">
        <v>9</v>
      </c>
      <c r="E27" s="5">
        <v>214</v>
      </c>
      <c r="F27" s="5">
        <v>6</v>
      </c>
      <c r="G27" s="5">
        <v>6</v>
      </c>
      <c r="H27" s="5">
        <v>1704.9</v>
      </c>
      <c r="I27" s="5">
        <v>1746</v>
      </c>
      <c r="J27" s="5">
        <v>6792</v>
      </c>
      <c r="K27" s="6">
        <v>10901.9</v>
      </c>
      <c r="L27" s="7">
        <v>818498.53</v>
      </c>
      <c r="M27" s="7">
        <v>256925.91</v>
      </c>
      <c r="N27" s="8">
        <f>L27+M27</f>
        <v>1075424.44</v>
      </c>
      <c r="O27" s="8">
        <v>778115.56</v>
      </c>
      <c r="P27" s="8">
        <v>244249.73</v>
      </c>
      <c r="Q27" s="9">
        <f t="shared" si="4"/>
        <v>1022365.29</v>
      </c>
      <c r="R27" s="9">
        <f t="shared" si="5"/>
        <v>-53059.14999999991</v>
      </c>
    </row>
    <row r="28" spans="1:18" ht="12.75">
      <c r="A28" s="5">
        <v>21</v>
      </c>
      <c r="B28" s="80" t="s">
        <v>41</v>
      </c>
      <c r="C28" s="80"/>
      <c r="D28" s="5">
        <v>9</v>
      </c>
      <c r="E28" s="5">
        <v>34</v>
      </c>
      <c r="F28" s="5">
        <v>1</v>
      </c>
      <c r="G28" s="5">
        <v>1</v>
      </c>
      <c r="H28" s="5">
        <v>294.7</v>
      </c>
      <c r="I28" s="5">
        <v>278.5</v>
      </c>
      <c r="J28" s="5">
        <v>3853</v>
      </c>
      <c r="K28" s="6">
        <v>1673.8</v>
      </c>
      <c r="L28" s="7">
        <v>125660.76</v>
      </c>
      <c r="M28" s="7">
        <v>39444.78</v>
      </c>
      <c r="N28" s="8">
        <f>L28+M28</f>
        <v>165105.53999999998</v>
      </c>
      <c r="O28" s="8">
        <v>113945.51</v>
      </c>
      <c r="P28" s="8">
        <v>35767.37</v>
      </c>
      <c r="Q28" s="9">
        <f t="shared" si="4"/>
        <v>149712.88</v>
      </c>
      <c r="R28" s="9">
        <f t="shared" si="5"/>
        <v>-15392.659999999974</v>
      </c>
    </row>
    <row r="29" spans="1:18" ht="12.75">
      <c r="A29" s="5">
        <v>22</v>
      </c>
      <c r="B29" s="80" t="s">
        <v>42</v>
      </c>
      <c r="C29" s="80"/>
      <c r="D29" s="5">
        <v>9</v>
      </c>
      <c r="E29" s="5">
        <v>107</v>
      </c>
      <c r="F29" s="5">
        <v>3</v>
      </c>
      <c r="G29" s="5">
        <v>3</v>
      </c>
      <c r="H29" s="5">
        <v>833.4</v>
      </c>
      <c r="I29" s="5">
        <v>889.9</v>
      </c>
      <c r="J29" s="5">
        <v>3798</v>
      </c>
      <c r="K29" s="6">
        <v>5727.1</v>
      </c>
      <c r="L29" s="7">
        <v>417897.5</v>
      </c>
      <c r="M29" s="7">
        <v>131177.34</v>
      </c>
      <c r="N29" s="8">
        <f>L29+M29</f>
        <v>549074.84</v>
      </c>
      <c r="O29" s="8">
        <v>410065.26</v>
      </c>
      <c r="P29" s="8">
        <v>128718.81</v>
      </c>
      <c r="Q29" s="9">
        <f t="shared" si="4"/>
        <v>538784.0700000001</v>
      </c>
      <c r="R29" s="9">
        <f t="shared" si="5"/>
        <v>-10290.769999999902</v>
      </c>
    </row>
    <row r="30" spans="1:18" ht="12.75">
      <c r="A30" s="10"/>
      <c r="B30" s="81" t="s">
        <v>26</v>
      </c>
      <c r="C30" s="82"/>
      <c r="D30" s="10">
        <f aca="true" t="shared" si="7" ref="D30:P30">SUM(D15:D29)</f>
        <v>136</v>
      </c>
      <c r="E30" s="10">
        <f t="shared" si="7"/>
        <v>2020</v>
      </c>
      <c r="F30" s="10">
        <f t="shared" si="7"/>
        <v>57</v>
      </c>
      <c r="G30" s="10">
        <f t="shared" si="7"/>
        <v>57</v>
      </c>
      <c r="H30" s="10">
        <f t="shared" si="7"/>
        <v>16124.000000000002</v>
      </c>
      <c r="I30" s="10">
        <f t="shared" si="7"/>
        <v>16646.300000000003</v>
      </c>
      <c r="J30" s="10">
        <f t="shared" si="7"/>
        <v>82627</v>
      </c>
      <c r="K30" s="11">
        <f t="shared" si="7"/>
        <v>103727.7</v>
      </c>
      <c r="L30" s="9">
        <f t="shared" si="7"/>
        <v>7696593.56</v>
      </c>
      <c r="M30" s="9">
        <f t="shared" si="7"/>
        <v>2443196.1099999994</v>
      </c>
      <c r="N30" s="12">
        <f t="shared" si="7"/>
        <v>10139789.67</v>
      </c>
      <c r="O30" s="12">
        <f t="shared" si="7"/>
        <v>7207736.219999999</v>
      </c>
      <c r="P30" s="12">
        <f t="shared" si="7"/>
        <v>2289279.0100000002</v>
      </c>
      <c r="Q30" s="9">
        <f t="shared" si="4"/>
        <v>9497015.229999999</v>
      </c>
      <c r="R30" s="9">
        <f t="shared" si="5"/>
        <v>-642774.4400000013</v>
      </c>
    </row>
    <row r="31" spans="1:18" ht="12.75">
      <c r="A31" s="10"/>
      <c r="B31" s="79" t="s">
        <v>43</v>
      </c>
      <c r="C31" s="79"/>
      <c r="D31" s="10">
        <f aca="true" t="shared" si="8" ref="D31:Q31">D13+D30</f>
        <v>171</v>
      </c>
      <c r="E31" s="10">
        <f t="shared" si="8"/>
        <v>2715</v>
      </c>
      <c r="F31" s="10">
        <f t="shared" si="8"/>
        <v>57</v>
      </c>
      <c r="G31" s="10">
        <f t="shared" si="8"/>
        <v>101</v>
      </c>
      <c r="H31" s="10">
        <f t="shared" si="8"/>
        <v>20202.800000000003</v>
      </c>
      <c r="I31" s="10">
        <f t="shared" si="8"/>
        <v>24983.000000000004</v>
      </c>
      <c r="J31" s="10">
        <f t="shared" si="8"/>
        <v>117165</v>
      </c>
      <c r="K31" s="10">
        <f t="shared" si="8"/>
        <v>134757</v>
      </c>
      <c r="L31" s="9">
        <f t="shared" si="8"/>
        <v>9328929.45</v>
      </c>
      <c r="M31" s="10">
        <f t="shared" si="8"/>
        <v>2969339.8599999994</v>
      </c>
      <c r="N31" s="9">
        <f t="shared" si="8"/>
        <v>12298269.309999999</v>
      </c>
      <c r="O31" s="9">
        <f t="shared" si="8"/>
        <v>8726226.419999998</v>
      </c>
      <c r="P31" s="10">
        <f t="shared" si="8"/>
        <v>2778727.37</v>
      </c>
      <c r="Q31" s="9">
        <f t="shared" si="8"/>
        <v>11504953.79</v>
      </c>
      <c r="R31" s="9">
        <f t="shared" si="5"/>
        <v>-793315.5199999996</v>
      </c>
    </row>
    <row r="32" spans="1:18" ht="12.75">
      <c r="A32" s="13"/>
      <c r="B32" s="14"/>
      <c r="C32" s="14"/>
      <c r="D32" s="13"/>
      <c r="E32" s="15"/>
      <c r="F32" s="15"/>
      <c r="G32" s="15"/>
      <c r="H32" s="16"/>
      <c r="I32" s="16"/>
      <c r="J32" s="16"/>
      <c r="K32" s="16"/>
      <c r="L32" s="16"/>
      <c r="M32" s="16"/>
      <c r="N32" s="17"/>
      <c r="O32" s="17"/>
      <c r="P32" s="17"/>
      <c r="Q32" s="17"/>
      <c r="R32" s="17"/>
    </row>
    <row r="33" spans="1:18" ht="12.75">
      <c r="A33" s="13"/>
      <c r="B33" s="14"/>
      <c r="C33" s="14"/>
      <c r="D33" s="13"/>
      <c r="E33" s="15"/>
      <c r="F33" s="15"/>
      <c r="G33" s="15"/>
      <c r="H33" s="16"/>
      <c r="I33" s="16"/>
      <c r="J33" s="16"/>
      <c r="K33" s="16"/>
      <c r="L33" s="16"/>
      <c r="M33" s="16"/>
      <c r="N33" s="17"/>
      <c r="O33" s="17"/>
      <c r="P33" s="17"/>
      <c r="Q33" s="17"/>
      <c r="R33" s="17"/>
    </row>
    <row r="34" spans="1:16" ht="12.75">
      <c r="A34" s="1"/>
      <c r="K34" s="3"/>
      <c r="L34" s="1"/>
      <c r="M34" s="1"/>
      <c r="N34" s="1"/>
      <c r="O34" s="1"/>
      <c r="P34" s="1"/>
    </row>
    <row r="35" spans="1:16" ht="12.75">
      <c r="A35" s="1"/>
      <c r="B35" t="s">
        <v>44</v>
      </c>
      <c r="H35" s="3"/>
      <c r="K35" s="3"/>
      <c r="L35" s="1"/>
      <c r="M35" s="1"/>
      <c r="N35" s="1"/>
      <c r="O35" s="1"/>
      <c r="P35" s="1"/>
    </row>
  </sheetData>
  <sheetProtection/>
  <mergeCells count="43">
    <mergeCell ref="B23:C23"/>
    <mergeCell ref="B24:C24"/>
    <mergeCell ref="B25:C25"/>
    <mergeCell ref="B26:C26"/>
    <mergeCell ref="B31:C31"/>
    <mergeCell ref="B27:C27"/>
    <mergeCell ref="B28:C28"/>
    <mergeCell ref="B29:C29"/>
    <mergeCell ref="B30:C30"/>
    <mergeCell ref="B15:C15"/>
    <mergeCell ref="B16:C16"/>
    <mergeCell ref="B17:C17"/>
    <mergeCell ref="B18:C18"/>
    <mergeCell ref="B19:C19"/>
    <mergeCell ref="B20:C20"/>
    <mergeCell ref="B21:C21"/>
    <mergeCell ref="B22:C22"/>
    <mergeCell ref="B7:C7"/>
    <mergeCell ref="B8:C8"/>
    <mergeCell ref="B9:C9"/>
    <mergeCell ref="B10:C10"/>
    <mergeCell ref="B11:C11"/>
    <mergeCell ref="B12:C12"/>
    <mergeCell ref="B13:C13"/>
    <mergeCell ref="A14:R14"/>
    <mergeCell ref="Q3:Q4"/>
    <mergeCell ref="R3:R4"/>
    <mergeCell ref="A5:R5"/>
    <mergeCell ref="B6:C6"/>
    <mergeCell ref="K3:K4"/>
    <mergeCell ref="L3:M3"/>
    <mergeCell ref="N3:N4"/>
    <mergeCell ref="O3:P3"/>
    <mergeCell ref="C1:M1"/>
    <mergeCell ref="A3:A4"/>
    <mergeCell ref="B3:C4"/>
    <mergeCell ref="D3:D4"/>
    <mergeCell ref="E3:E4"/>
    <mergeCell ref="F3:F4"/>
    <mergeCell ref="G3:G4"/>
    <mergeCell ref="H3:H4"/>
    <mergeCell ref="I3:I4"/>
    <mergeCell ref="J3:J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4">
      <selection activeCell="B24" sqref="B24"/>
    </sheetView>
  </sheetViews>
  <sheetFormatPr defaultColWidth="9.00390625" defaultRowHeight="12.75"/>
  <cols>
    <col min="1" max="1" width="4.25390625" style="0" customWidth="1"/>
    <col min="3" max="3" width="5.75390625" style="0" customWidth="1"/>
    <col min="4" max="4" width="4.125" style="0" hidden="1" customWidth="1"/>
    <col min="5" max="5" width="5.375" style="0" hidden="1" customWidth="1"/>
    <col min="6" max="6" width="4.125" style="0" hidden="1" customWidth="1"/>
    <col min="7" max="7" width="7.875" style="0" customWidth="1"/>
    <col min="8" max="8" width="11.75390625" style="0" customWidth="1"/>
    <col min="9" max="9" width="10.25390625" style="0" customWidth="1"/>
    <col min="10" max="10" width="9.875" style="0" customWidth="1"/>
    <col min="11" max="11" width="10.25390625" style="0" hidden="1" customWidth="1"/>
    <col min="12" max="12" width="11.875" style="0" customWidth="1"/>
    <col min="13" max="13" width="11.375" style="0" customWidth="1"/>
    <col min="14" max="14" width="10.25390625" style="0" customWidth="1"/>
    <col min="15" max="15" width="11.00390625" style="0" customWidth="1"/>
    <col min="16" max="16" width="0.6171875" style="0" hidden="1" customWidth="1"/>
    <col min="17" max="18" width="11.25390625" style="0" customWidth="1"/>
  </cols>
  <sheetData>
    <row r="1" spans="1:18" ht="45.75" customHeight="1">
      <c r="A1" s="1"/>
      <c r="C1" s="92" t="s">
        <v>92</v>
      </c>
      <c r="D1" s="92"/>
      <c r="E1" s="92"/>
      <c r="F1" s="92"/>
      <c r="G1" s="93"/>
      <c r="H1" s="93"/>
      <c r="I1" s="93"/>
      <c r="J1" s="93"/>
      <c r="K1" s="93"/>
      <c r="L1" s="93"/>
      <c r="M1" s="93"/>
      <c r="N1" s="23"/>
      <c r="O1" s="23"/>
      <c r="P1" s="23"/>
      <c r="Q1" s="23"/>
      <c r="R1" s="2"/>
    </row>
    <row r="2" spans="1:18" ht="31.5" customHeight="1">
      <c r="A2" s="1"/>
      <c r="C2" s="1"/>
      <c r="D2" s="1"/>
      <c r="E2" s="1"/>
      <c r="F2" s="1"/>
      <c r="G2" s="3"/>
      <c r="H2" s="1"/>
      <c r="I2" s="1"/>
      <c r="J2" s="1"/>
      <c r="K2" s="1"/>
      <c r="L2" s="1"/>
      <c r="M2" s="23"/>
      <c r="N2" s="23"/>
      <c r="O2" s="23"/>
      <c r="P2" s="23"/>
      <c r="Q2" s="23"/>
      <c r="R2" s="2"/>
    </row>
    <row r="3" spans="1:18" ht="13.5" customHeight="1" thickBot="1">
      <c r="A3" s="94" t="s">
        <v>1</v>
      </c>
      <c r="B3" s="95" t="s">
        <v>2</v>
      </c>
      <c r="C3" s="95"/>
      <c r="D3" s="96" t="s">
        <v>3</v>
      </c>
      <c r="E3" s="97" t="s">
        <v>4</v>
      </c>
      <c r="F3" s="97" t="s">
        <v>5</v>
      </c>
      <c r="G3" s="86" t="s">
        <v>10</v>
      </c>
      <c r="H3" s="103" t="s">
        <v>87</v>
      </c>
      <c r="I3" s="104"/>
      <c r="J3" s="105"/>
      <c r="K3" s="106"/>
      <c r="L3" s="101" t="s">
        <v>12</v>
      </c>
      <c r="M3" s="107" t="s">
        <v>88</v>
      </c>
      <c r="N3" s="108"/>
      <c r="O3" s="108"/>
      <c r="P3" s="109"/>
      <c r="Q3" s="110"/>
      <c r="R3" s="77" t="s">
        <v>89</v>
      </c>
    </row>
    <row r="4" spans="1:18" ht="76.5" customHeight="1">
      <c r="A4" s="94"/>
      <c r="B4" s="95"/>
      <c r="C4" s="95"/>
      <c r="D4" s="96"/>
      <c r="E4" s="97"/>
      <c r="F4" s="97"/>
      <c r="G4" s="86"/>
      <c r="H4" s="71" t="s">
        <v>16</v>
      </c>
      <c r="I4" s="76" t="s">
        <v>17</v>
      </c>
      <c r="J4" s="76" t="s">
        <v>93</v>
      </c>
      <c r="K4" s="74" t="s">
        <v>0</v>
      </c>
      <c r="L4" s="102"/>
      <c r="M4" s="71" t="s">
        <v>16</v>
      </c>
      <c r="N4" s="76" t="s">
        <v>17</v>
      </c>
      <c r="O4" s="76" t="s">
        <v>93</v>
      </c>
      <c r="P4" s="72" t="s">
        <v>0</v>
      </c>
      <c r="Q4" s="72" t="s">
        <v>12</v>
      </c>
      <c r="R4" s="78"/>
    </row>
    <row r="5" spans="1:18" ht="12.75">
      <c r="A5" s="98" t="s">
        <v>91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100"/>
    </row>
    <row r="6" spans="1:18" ht="12.75">
      <c r="A6" s="5">
        <v>1</v>
      </c>
      <c r="B6" s="80" t="s">
        <v>23</v>
      </c>
      <c r="C6" s="80"/>
      <c r="D6" s="5">
        <v>5</v>
      </c>
      <c r="E6" s="5">
        <v>139</v>
      </c>
      <c r="F6" s="5"/>
      <c r="G6" s="6">
        <v>6149.4</v>
      </c>
      <c r="H6" s="7">
        <v>457140.83</v>
      </c>
      <c r="I6" s="7">
        <v>124339.56</v>
      </c>
      <c r="J6" s="8">
        <v>12113.4</v>
      </c>
      <c r="K6" s="8"/>
      <c r="L6" s="8">
        <f>H6+I6+J6+K6</f>
        <v>593593.79</v>
      </c>
      <c r="M6" s="8">
        <v>409283.59</v>
      </c>
      <c r="N6" s="8">
        <v>111322.68</v>
      </c>
      <c r="O6" s="8">
        <v>10845.27</v>
      </c>
      <c r="P6" s="8"/>
      <c r="Q6" s="8">
        <f>P6+O6+N6+M6</f>
        <v>531451.54</v>
      </c>
      <c r="R6" s="9">
        <f>Q6-L6</f>
        <v>-62142.25</v>
      </c>
    </row>
    <row r="7" spans="1:18" ht="12.75">
      <c r="A7" s="5">
        <v>2</v>
      </c>
      <c r="B7" s="80" t="s">
        <v>24</v>
      </c>
      <c r="C7" s="80"/>
      <c r="D7" s="5">
        <v>5</v>
      </c>
      <c r="E7" s="5">
        <v>110</v>
      </c>
      <c r="F7" s="5"/>
      <c r="G7" s="6">
        <v>4822.7</v>
      </c>
      <c r="H7" s="7">
        <v>359356.28</v>
      </c>
      <c r="I7" s="7">
        <v>97742.7</v>
      </c>
      <c r="J7" s="8">
        <v>9522.82</v>
      </c>
      <c r="K7" s="8"/>
      <c r="L7" s="8">
        <f>H7+I7+J7+K7</f>
        <v>466621.80000000005</v>
      </c>
      <c r="M7" s="8">
        <v>330667.87</v>
      </c>
      <c r="N7" s="8">
        <v>89939.63</v>
      </c>
      <c r="O7" s="8">
        <v>8762.58</v>
      </c>
      <c r="P7" s="8"/>
      <c r="Q7" s="8">
        <f>P7+O7+N7+M7</f>
        <v>429370.08</v>
      </c>
      <c r="R7" s="9">
        <f>Q7-L7</f>
        <v>-37251.72000000003</v>
      </c>
    </row>
    <row r="8" spans="1:18" ht="12.75">
      <c r="A8" s="5">
        <v>3</v>
      </c>
      <c r="B8" s="80" t="s">
        <v>78</v>
      </c>
      <c r="C8" s="80"/>
      <c r="D8" s="5">
        <v>5</v>
      </c>
      <c r="E8" s="5">
        <v>110</v>
      </c>
      <c r="F8" s="5"/>
      <c r="G8" s="6">
        <v>4821.8</v>
      </c>
      <c r="H8" s="7">
        <v>358444.4</v>
      </c>
      <c r="I8" s="7">
        <v>97494.38</v>
      </c>
      <c r="J8" s="8">
        <v>9498.54</v>
      </c>
      <c r="K8" s="8"/>
      <c r="L8" s="8">
        <f>H8+I8+J8+K8</f>
        <v>465437.32</v>
      </c>
      <c r="M8" s="8">
        <v>353767.52</v>
      </c>
      <c r="N8" s="8">
        <v>96494.38</v>
      </c>
      <c r="O8" s="8">
        <v>9498.54</v>
      </c>
      <c r="P8" s="8"/>
      <c r="Q8" s="8">
        <f>P8+O8+N8+M8</f>
        <v>459760.44000000006</v>
      </c>
      <c r="R8" s="9">
        <f>Q8-L8</f>
        <v>-5676.879999999946</v>
      </c>
    </row>
    <row r="9" spans="1:18" ht="12.75">
      <c r="A9" s="5">
        <v>4</v>
      </c>
      <c r="B9" s="80" t="s">
        <v>79</v>
      </c>
      <c r="C9" s="80"/>
      <c r="D9" s="5">
        <v>5</v>
      </c>
      <c r="E9" s="5">
        <v>110</v>
      </c>
      <c r="F9" s="5"/>
      <c r="G9" s="6">
        <v>4930.3</v>
      </c>
      <c r="H9" s="7">
        <v>366503.76</v>
      </c>
      <c r="I9" s="7">
        <v>99686.82</v>
      </c>
      <c r="J9" s="8">
        <v>9712.33</v>
      </c>
      <c r="K9" s="8"/>
      <c r="L9" s="8">
        <f>H9+I9+J9+K9</f>
        <v>475902.91000000003</v>
      </c>
      <c r="M9" s="8">
        <v>351201.95</v>
      </c>
      <c r="N9" s="8">
        <v>96522.3</v>
      </c>
      <c r="O9" s="8">
        <v>9306.83</v>
      </c>
      <c r="P9" s="8"/>
      <c r="Q9" s="8">
        <f>P9+O9+N9+M9</f>
        <v>457031.08</v>
      </c>
      <c r="R9" s="9">
        <f>Q9-L9</f>
        <v>-18871.830000000016</v>
      </c>
    </row>
    <row r="10" spans="1:18" ht="12.75">
      <c r="A10" s="10"/>
      <c r="B10" s="81" t="s">
        <v>26</v>
      </c>
      <c r="C10" s="82"/>
      <c r="D10" s="10"/>
      <c r="E10" s="10">
        <f>SUM(E6:E9)</f>
        <v>469</v>
      </c>
      <c r="F10" s="10"/>
      <c r="G10" s="11">
        <f>SUM(G6:G9)</f>
        <v>20724.199999999997</v>
      </c>
      <c r="H10" s="9">
        <f>SUM(H6:H9)</f>
        <v>1541445.2700000003</v>
      </c>
      <c r="I10" s="9">
        <f>SUM(I6:I9)</f>
        <v>419263.46</v>
      </c>
      <c r="J10" s="12">
        <f>J6+J7+J8+J9</f>
        <v>40847.090000000004</v>
      </c>
      <c r="K10" s="12">
        <f>SUM(K6:K9)</f>
        <v>0</v>
      </c>
      <c r="L10" s="8">
        <f>H10+I10+J10+K10</f>
        <v>2001555.8200000003</v>
      </c>
      <c r="M10" s="12">
        <f>SUM(M6:M9)</f>
        <v>1444920.93</v>
      </c>
      <c r="N10" s="12">
        <f>SUM(N6:N9)</f>
        <v>394278.99</v>
      </c>
      <c r="O10" s="12">
        <f>SUM(O6:O9)</f>
        <v>38413.22</v>
      </c>
      <c r="P10" s="12">
        <f>SUM(P6:P9)</f>
        <v>0</v>
      </c>
      <c r="Q10" s="8">
        <f>SUM(Q6:Q9)</f>
        <v>1877613.1400000001</v>
      </c>
      <c r="R10" s="9">
        <f>Q10-L10</f>
        <v>-123942.68000000017</v>
      </c>
    </row>
    <row r="11" spans="1:18" ht="12.75">
      <c r="A11" s="83" t="s">
        <v>90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5"/>
    </row>
    <row r="12" spans="1:18" ht="12.75">
      <c r="A12" s="5">
        <v>5</v>
      </c>
      <c r="B12" s="80" t="s">
        <v>77</v>
      </c>
      <c r="C12" s="80"/>
      <c r="D12" s="5">
        <v>9</v>
      </c>
      <c r="E12" s="5">
        <v>141</v>
      </c>
      <c r="F12" s="5">
        <v>4</v>
      </c>
      <c r="G12" s="6">
        <v>7417.2</v>
      </c>
      <c r="H12" s="7">
        <v>741146.82</v>
      </c>
      <c r="I12" s="7">
        <v>207877.34</v>
      </c>
      <c r="J12" s="8">
        <v>14621.85</v>
      </c>
      <c r="K12" s="8"/>
      <c r="L12" s="8">
        <f>K12+J12+I12+H12</f>
        <v>963646.01</v>
      </c>
      <c r="M12" s="8">
        <v>713850.85</v>
      </c>
      <c r="N12" s="8">
        <v>200221.35</v>
      </c>
      <c r="O12" s="8">
        <v>14083.34</v>
      </c>
      <c r="P12" s="8"/>
      <c r="Q12" s="8">
        <f>P12+O12+N12+M12</f>
        <v>928155.54</v>
      </c>
      <c r="R12" s="9">
        <f>Q12-L12</f>
        <v>-35490.46999999997</v>
      </c>
    </row>
    <row r="13" spans="1:18" ht="12.75">
      <c r="A13" s="5">
        <v>6</v>
      </c>
      <c r="B13" s="80" t="s">
        <v>80</v>
      </c>
      <c r="C13" s="80"/>
      <c r="D13" s="5">
        <v>9</v>
      </c>
      <c r="E13" s="5">
        <v>172</v>
      </c>
      <c r="F13" s="5">
        <v>5</v>
      </c>
      <c r="G13" s="6">
        <v>8787.7</v>
      </c>
      <c r="H13" s="7">
        <v>878476.81</v>
      </c>
      <c r="I13" s="7">
        <v>246395.42</v>
      </c>
      <c r="J13" s="8">
        <v>17298.09</v>
      </c>
      <c r="K13" s="8"/>
      <c r="L13" s="8">
        <f>J13+I13+H13</f>
        <v>1142170.32</v>
      </c>
      <c r="M13" s="8">
        <v>813767.26</v>
      </c>
      <c r="N13" s="8">
        <v>228245.67</v>
      </c>
      <c r="O13" s="8">
        <v>16023.89</v>
      </c>
      <c r="P13" s="8"/>
      <c r="Q13" s="8">
        <f aca="true" t="shared" si="0" ref="Q13:Q20">P13+O13+N13+M13</f>
        <v>1058036.82</v>
      </c>
      <c r="R13" s="9">
        <f>Q13-L13</f>
        <v>-84133.5</v>
      </c>
    </row>
    <row r="14" spans="1:18" ht="12.75">
      <c r="A14" s="5">
        <v>7</v>
      </c>
      <c r="B14" s="80" t="s">
        <v>81</v>
      </c>
      <c r="C14" s="80"/>
      <c r="D14" s="5">
        <v>9</v>
      </c>
      <c r="E14" s="5">
        <v>108</v>
      </c>
      <c r="F14" s="5">
        <v>3</v>
      </c>
      <c r="G14" s="6">
        <v>5828.7</v>
      </c>
      <c r="H14" s="7">
        <v>581089.56</v>
      </c>
      <c r="I14" s="7">
        <v>156004.08</v>
      </c>
      <c r="J14" s="8">
        <v>11411.65</v>
      </c>
      <c r="K14" s="8"/>
      <c r="L14" s="8">
        <f aca="true" t="shared" si="1" ref="L14:L20">K14+J14+I14+H14</f>
        <v>748505.29</v>
      </c>
      <c r="M14" s="8">
        <v>524721.29</v>
      </c>
      <c r="N14" s="8">
        <v>140870.99</v>
      </c>
      <c r="O14" s="8">
        <v>10304.67</v>
      </c>
      <c r="P14" s="8"/>
      <c r="Q14" s="8">
        <f t="shared" si="0"/>
        <v>675896.9500000001</v>
      </c>
      <c r="R14" s="9">
        <f aca="true" t="shared" si="2" ref="R14:R20">Q14-L14</f>
        <v>-72608.33999999997</v>
      </c>
    </row>
    <row r="15" spans="1:18" ht="12.75">
      <c r="A15" s="5">
        <v>8</v>
      </c>
      <c r="B15" s="80" t="s">
        <v>82</v>
      </c>
      <c r="C15" s="80"/>
      <c r="D15" s="5">
        <v>9</v>
      </c>
      <c r="E15" s="5">
        <v>142</v>
      </c>
      <c r="F15" s="5">
        <v>4</v>
      </c>
      <c r="G15" s="6">
        <v>7237.7</v>
      </c>
      <c r="H15" s="7">
        <v>715391.77</v>
      </c>
      <c r="I15" s="7">
        <v>192773.26</v>
      </c>
      <c r="J15" s="8">
        <v>14289.88</v>
      </c>
      <c r="K15" s="8"/>
      <c r="L15" s="8">
        <f t="shared" si="1"/>
        <v>922454.91</v>
      </c>
      <c r="M15" s="8">
        <v>656861.72</v>
      </c>
      <c r="N15" s="8">
        <v>177001.44</v>
      </c>
      <c r="O15" s="8">
        <v>13120.75</v>
      </c>
      <c r="P15" s="8"/>
      <c r="Q15" s="8">
        <f t="shared" si="0"/>
        <v>846983.9099999999</v>
      </c>
      <c r="R15" s="9">
        <f t="shared" si="2"/>
        <v>-75471.00000000012</v>
      </c>
    </row>
    <row r="16" spans="1:18" ht="12.75">
      <c r="A16" s="5">
        <v>9</v>
      </c>
      <c r="B16" s="80" t="s">
        <v>38</v>
      </c>
      <c r="C16" s="80"/>
      <c r="D16" s="5">
        <v>9</v>
      </c>
      <c r="E16" s="5">
        <v>212</v>
      </c>
      <c r="F16" s="5">
        <v>6</v>
      </c>
      <c r="G16" s="6">
        <v>10881</v>
      </c>
      <c r="H16" s="7">
        <v>1084120.94</v>
      </c>
      <c r="I16" s="7">
        <v>304074.18</v>
      </c>
      <c r="J16" s="8">
        <v>21377.49</v>
      </c>
      <c r="K16" s="8"/>
      <c r="L16" s="8">
        <f t="shared" si="1"/>
        <v>1409572.6099999999</v>
      </c>
      <c r="M16" s="8">
        <v>1029825.76</v>
      </c>
      <c r="N16" s="8">
        <v>288845.47</v>
      </c>
      <c r="O16" s="8">
        <v>20306.86</v>
      </c>
      <c r="P16" s="8"/>
      <c r="Q16" s="8">
        <f t="shared" si="0"/>
        <v>1338978.0899999999</v>
      </c>
      <c r="R16" s="9">
        <f t="shared" si="2"/>
        <v>-70594.52000000002</v>
      </c>
    </row>
    <row r="17" spans="1:18" ht="12.75">
      <c r="A17" s="5">
        <v>10</v>
      </c>
      <c r="B17" s="80" t="s">
        <v>39</v>
      </c>
      <c r="C17" s="80"/>
      <c r="D17" s="5">
        <v>9</v>
      </c>
      <c r="E17" s="5">
        <v>34</v>
      </c>
      <c r="F17" s="5">
        <v>1</v>
      </c>
      <c r="G17" s="6">
        <v>1655.6</v>
      </c>
      <c r="H17" s="7">
        <v>165394.92</v>
      </c>
      <c r="I17" s="7">
        <v>46390.02</v>
      </c>
      <c r="J17" s="8">
        <v>3261.55</v>
      </c>
      <c r="K17" s="8"/>
      <c r="L17" s="8">
        <f t="shared" si="1"/>
        <v>215046.49000000002</v>
      </c>
      <c r="M17" s="8">
        <v>164353.15</v>
      </c>
      <c r="N17" s="8">
        <v>46097.82</v>
      </c>
      <c r="O17" s="8">
        <v>3241.01</v>
      </c>
      <c r="P17" s="8"/>
      <c r="Q17" s="8">
        <f t="shared" si="0"/>
        <v>213691.97999999998</v>
      </c>
      <c r="R17" s="9">
        <f t="shared" si="2"/>
        <v>-1354.5100000000384</v>
      </c>
    </row>
    <row r="18" spans="1:18" ht="12.75">
      <c r="A18" s="5">
        <v>11</v>
      </c>
      <c r="B18" s="80" t="s">
        <v>40</v>
      </c>
      <c r="C18" s="80"/>
      <c r="D18" s="5">
        <v>9</v>
      </c>
      <c r="E18" s="5">
        <v>214</v>
      </c>
      <c r="F18" s="5">
        <v>6</v>
      </c>
      <c r="G18" s="6">
        <v>10895</v>
      </c>
      <c r="H18" s="7">
        <v>1079988.84</v>
      </c>
      <c r="I18" s="7">
        <v>304931.41</v>
      </c>
      <c r="J18" s="8">
        <v>21441.44</v>
      </c>
      <c r="K18" s="8"/>
      <c r="L18" s="8">
        <f t="shared" si="1"/>
        <v>1406361.69</v>
      </c>
      <c r="M18" s="8">
        <v>1022913.19</v>
      </c>
      <c r="N18" s="8">
        <v>288816.28</v>
      </c>
      <c r="O18" s="8">
        <v>20308.3</v>
      </c>
      <c r="P18" s="8"/>
      <c r="Q18" s="8">
        <f t="shared" si="0"/>
        <v>1332037.77</v>
      </c>
      <c r="R18" s="9">
        <f t="shared" si="2"/>
        <v>-74323.91999999993</v>
      </c>
    </row>
    <row r="19" spans="1:18" ht="12.75">
      <c r="A19" s="5">
        <v>12</v>
      </c>
      <c r="B19" s="80" t="s">
        <v>41</v>
      </c>
      <c r="C19" s="80"/>
      <c r="D19" s="5">
        <v>9</v>
      </c>
      <c r="E19" s="5">
        <v>34</v>
      </c>
      <c r="F19" s="5">
        <v>1</v>
      </c>
      <c r="G19" s="6">
        <v>1673.1</v>
      </c>
      <c r="H19" s="7">
        <v>167183.27</v>
      </c>
      <c r="I19" s="7">
        <v>46891.48</v>
      </c>
      <c r="J19" s="8">
        <v>3297.19</v>
      </c>
      <c r="K19" s="8"/>
      <c r="L19" s="8">
        <f t="shared" si="1"/>
        <v>217371.94</v>
      </c>
      <c r="M19" s="8">
        <v>144840.84</v>
      </c>
      <c r="N19" s="8">
        <v>40624.89</v>
      </c>
      <c r="O19" s="8">
        <v>2856.55</v>
      </c>
      <c r="P19" s="8"/>
      <c r="Q19" s="8">
        <f t="shared" si="0"/>
        <v>188322.28</v>
      </c>
      <c r="R19" s="9">
        <f t="shared" si="2"/>
        <v>-29049.660000000003</v>
      </c>
    </row>
    <row r="20" spans="1:18" ht="12.75">
      <c r="A20" s="5">
        <v>13</v>
      </c>
      <c r="B20" s="80" t="s">
        <v>42</v>
      </c>
      <c r="C20" s="80"/>
      <c r="D20" s="5">
        <v>9</v>
      </c>
      <c r="E20" s="5">
        <v>107</v>
      </c>
      <c r="F20" s="5">
        <v>3</v>
      </c>
      <c r="G20" s="6">
        <v>5571.2</v>
      </c>
      <c r="H20" s="7">
        <v>556614.48</v>
      </c>
      <c r="I20" s="7">
        <v>156119.88</v>
      </c>
      <c r="J20" s="8">
        <v>10976.39</v>
      </c>
      <c r="K20" s="8"/>
      <c r="L20" s="8">
        <f t="shared" si="1"/>
        <v>723710.75</v>
      </c>
      <c r="M20" s="8">
        <v>511933.53</v>
      </c>
      <c r="N20" s="8">
        <v>143587.71</v>
      </c>
      <c r="O20" s="8">
        <v>10095.29</v>
      </c>
      <c r="P20" s="8"/>
      <c r="Q20" s="8">
        <f t="shared" si="0"/>
        <v>665616.53</v>
      </c>
      <c r="R20" s="9">
        <f t="shared" si="2"/>
        <v>-58094.21999999997</v>
      </c>
    </row>
    <row r="21" spans="1:18" ht="12.75">
      <c r="A21" s="5"/>
      <c r="B21" s="80"/>
      <c r="C21" s="80"/>
      <c r="D21" s="5"/>
      <c r="E21" s="5"/>
      <c r="F21" s="5"/>
      <c r="G21" s="6"/>
      <c r="H21" s="7"/>
      <c r="I21" s="7"/>
      <c r="J21" s="8"/>
      <c r="K21" s="8"/>
      <c r="L21" s="8"/>
      <c r="M21" s="8"/>
      <c r="N21" s="8"/>
      <c r="O21" s="8"/>
      <c r="P21" s="8"/>
      <c r="Q21" s="8"/>
      <c r="R21" s="9"/>
    </row>
    <row r="22" spans="1:18" ht="12.75">
      <c r="A22" s="10"/>
      <c r="B22" s="81" t="s">
        <v>26</v>
      </c>
      <c r="C22" s="82"/>
      <c r="D22" s="10"/>
      <c r="E22" s="10">
        <f>SUM(E12:E21)</f>
        <v>1164</v>
      </c>
      <c r="F22" s="10">
        <f>SUM(F12:F21)</f>
        <v>33</v>
      </c>
      <c r="G22" s="11">
        <f>SUM(G12:G21)</f>
        <v>59947.2</v>
      </c>
      <c r="H22" s="9">
        <f>SUM(H12:H21)</f>
        <v>5969407.41</v>
      </c>
      <c r="I22" s="9">
        <f>SUM(I12:I21)</f>
        <v>1661457.0699999998</v>
      </c>
      <c r="J22" s="12">
        <f>SUM(J12:J20)</f>
        <v>117975.53000000001</v>
      </c>
      <c r="K22" s="12">
        <f>SUM(K12:K20)</f>
        <v>0</v>
      </c>
      <c r="L22" s="8">
        <f>SUM(L12:L20)</f>
        <v>7748840.010000001</v>
      </c>
      <c r="M22" s="12">
        <f>SUM(M12:M21)</f>
        <v>5583067.59</v>
      </c>
      <c r="N22" s="12">
        <f>SUM(N12:N21)</f>
        <v>1554311.6199999999</v>
      </c>
      <c r="O22" s="12">
        <f>SUM(O12:O20)</f>
        <v>110340.66</v>
      </c>
      <c r="P22" s="12">
        <f>SUM(P12:P20)</f>
        <v>0</v>
      </c>
      <c r="Q22" s="8">
        <f>SUM(Q12:Q20)</f>
        <v>7247719.869999999</v>
      </c>
      <c r="R22" s="9">
        <f>Q22-L22</f>
        <v>-501120.1400000015</v>
      </c>
    </row>
    <row r="23" spans="1:18" ht="12.75">
      <c r="A23" s="10"/>
      <c r="B23" s="79" t="s">
        <v>43</v>
      </c>
      <c r="C23" s="79"/>
      <c r="D23" s="10"/>
      <c r="E23" s="10">
        <f>E10+E22</f>
        <v>1633</v>
      </c>
      <c r="F23" s="10">
        <f>F10+F22</f>
        <v>33</v>
      </c>
      <c r="G23" s="10">
        <f>G10+G22</f>
        <v>80671.4</v>
      </c>
      <c r="H23" s="9">
        <f>H10+H22</f>
        <v>7510852.680000001</v>
      </c>
      <c r="I23" s="9">
        <f>I10+I22</f>
        <v>2080720.5299999998</v>
      </c>
      <c r="J23" s="9">
        <f>J22+J10</f>
        <v>158822.62000000002</v>
      </c>
      <c r="K23" s="12">
        <f>K10+K22</f>
        <v>0</v>
      </c>
      <c r="L23" s="8">
        <f>L10+L22</f>
        <v>9750395.830000002</v>
      </c>
      <c r="M23" s="9">
        <f>M10+M22</f>
        <v>7027988.52</v>
      </c>
      <c r="N23" s="9">
        <f>N10+N22</f>
        <v>1948590.6099999999</v>
      </c>
      <c r="O23" s="9">
        <f>O22+O10</f>
        <v>148753.88</v>
      </c>
      <c r="P23" s="12">
        <f>P10+P22</f>
        <v>0</v>
      </c>
      <c r="Q23" s="8">
        <f>Q10+Q22</f>
        <v>9125333.01</v>
      </c>
      <c r="R23" s="9">
        <f>Q23-L23</f>
        <v>-625062.8200000022</v>
      </c>
    </row>
    <row r="24" spans="1:18" ht="12.75">
      <c r="A24" s="13"/>
      <c r="B24" s="14"/>
      <c r="C24" s="14"/>
      <c r="D24" s="13"/>
      <c r="E24" s="15"/>
      <c r="F24" s="15"/>
      <c r="G24" s="16"/>
      <c r="H24" s="16"/>
      <c r="I24" s="16"/>
      <c r="J24" s="16"/>
      <c r="K24" s="16"/>
      <c r="L24" s="17"/>
      <c r="M24" s="17"/>
      <c r="N24" s="17"/>
      <c r="O24" s="17"/>
      <c r="P24" s="17"/>
      <c r="Q24" s="17"/>
      <c r="R24" s="17"/>
    </row>
    <row r="25" spans="1:18" ht="12.75">
      <c r="A25" s="13"/>
      <c r="B25" s="14"/>
      <c r="C25" s="14"/>
      <c r="D25" s="13"/>
      <c r="E25" s="15"/>
      <c r="F25" s="15"/>
      <c r="G25" s="16"/>
      <c r="H25" s="16"/>
      <c r="I25" s="16"/>
      <c r="J25" s="16"/>
      <c r="K25" s="16"/>
      <c r="L25" s="17"/>
      <c r="M25" s="17"/>
      <c r="N25" s="17"/>
      <c r="O25" s="17"/>
      <c r="P25" s="17"/>
      <c r="Q25" s="73" t="s">
        <v>83</v>
      </c>
      <c r="R25" s="73" t="s">
        <v>84</v>
      </c>
    </row>
    <row r="26" spans="1:18" ht="12.75">
      <c r="A26" s="1"/>
      <c r="G26" s="3"/>
      <c r="H26" s="1"/>
      <c r="I26" s="1"/>
      <c r="J26" s="1"/>
      <c r="K26" s="1"/>
      <c r="L26" s="1"/>
      <c r="M26" s="1"/>
      <c r="N26" s="1"/>
      <c r="O26" s="1"/>
      <c r="P26" s="1"/>
      <c r="Q26" s="1" t="s">
        <v>86</v>
      </c>
      <c r="R26" t="s">
        <v>85</v>
      </c>
    </row>
    <row r="27" spans="1:17" ht="12.75">
      <c r="A27" s="1"/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8:15" ht="12.75">
      <c r="H28" s="75"/>
      <c r="I28" s="75"/>
      <c r="J28" s="75"/>
      <c r="K28" s="75"/>
      <c r="L28" s="75"/>
      <c r="M28" s="75"/>
      <c r="N28" s="75"/>
      <c r="O28" s="75"/>
    </row>
  </sheetData>
  <sheetProtection/>
  <mergeCells count="30">
    <mergeCell ref="C1:M1"/>
    <mergeCell ref="A3:A4"/>
    <mergeCell ref="B3:C4"/>
    <mergeCell ref="D3:D4"/>
    <mergeCell ref="E3:E4"/>
    <mergeCell ref="F3:F4"/>
    <mergeCell ref="R3:R4"/>
    <mergeCell ref="A5:R5"/>
    <mergeCell ref="B6:C6"/>
    <mergeCell ref="G3:G4"/>
    <mergeCell ref="L3:L4"/>
    <mergeCell ref="H3:K3"/>
    <mergeCell ref="M3:Q3"/>
    <mergeCell ref="B7:C7"/>
    <mergeCell ref="B8:C8"/>
    <mergeCell ref="B9:C9"/>
    <mergeCell ref="B13:C13"/>
    <mergeCell ref="B14:C14"/>
    <mergeCell ref="B15:C15"/>
    <mergeCell ref="B16:C16"/>
    <mergeCell ref="B10:C10"/>
    <mergeCell ref="A11:R11"/>
    <mergeCell ref="B12:C12"/>
    <mergeCell ref="B23:C23"/>
    <mergeCell ref="B22:C22"/>
    <mergeCell ref="B17:C17"/>
    <mergeCell ref="B19:C19"/>
    <mergeCell ref="B20:C20"/>
    <mergeCell ref="B21:C21"/>
    <mergeCell ref="B18:C1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5">
      <selection activeCell="Q32" sqref="Q32"/>
    </sheetView>
  </sheetViews>
  <sheetFormatPr defaultColWidth="9.00390625" defaultRowHeight="12.75"/>
  <cols>
    <col min="1" max="1" width="3.375" style="0" customWidth="1"/>
    <col min="3" max="3" width="2.625" style="0" customWidth="1"/>
    <col min="4" max="4" width="4.125" style="0" customWidth="1"/>
    <col min="5" max="5" width="5.375" style="0" customWidth="1"/>
    <col min="6" max="6" width="4.125" style="0" customWidth="1"/>
    <col min="7" max="7" width="4.25390625" style="0" customWidth="1"/>
    <col min="8" max="8" width="8.125" style="0" customWidth="1"/>
    <col min="9" max="10" width="7.75390625" style="0" customWidth="1"/>
    <col min="12" max="12" width="11.25390625" style="0" customWidth="1"/>
    <col min="13" max="13" width="10.125" style="0" customWidth="1"/>
    <col min="14" max="14" width="11.125" style="0" customWidth="1"/>
    <col min="15" max="15" width="11.625" style="0" customWidth="1"/>
    <col min="16" max="16" width="10.875" style="0" customWidth="1"/>
    <col min="17" max="18" width="11.375" style="0" customWidth="1"/>
  </cols>
  <sheetData>
    <row r="1" spans="1:18" ht="12.75">
      <c r="A1" s="1"/>
      <c r="C1" s="92" t="s">
        <v>76</v>
      </c>
      <c r="D1" s="92"/>
      <c r="E1" s="92"/>
      <c r="F1" s="92"/>
      <c r="G1" s="92"/>
      <c r="H1" s="92"/>
      <c r="I1" s="92"/>
      <c r="J1" s="93"/>
      <c r="K1" s="93"/>
      <c r="L1" s="93"/>
      <c r="M1" s="93"/>
      <c r="N1" s="1"/>
      <c r="O1" s="1"/>
      <c r="P1" s="1"/>
      <c r="R1" s="2"/>
    </row>
    <row r="2" spans="1:18" ht="12.75">
      <c r="A2" s="1"/>
      <c r="C2" s="1"/>
      <c r="D2" s="1"/>
      <c r="E2" s="1"/>
      <c r="F2" s="1"/>
      <c r="G2" s="1"/>
      <c r="H2" s="1"/>
      <c r="I2" s="1"/>
      <c r="J2" s="1"/>
      <c r="K2" s="3"/>
      <c r="L2" s="1"/>
      <c r="M2" s="1"/>
      <c r="N2" s="1"/>
      <c r="O2" s="1"/>
      <c r="P2" s="1"/>
      <c r="R2" s="2"/>
    </row>
    <row r="3" spans="1:18" ht="12.75">
      <c r="A3" s="94" t="s">
        <v>1</v>
      </c>
      <c r="B3" s="95" t="s">
        <v>2</v>
      </c>
      <c r="C3" s="95"/>
      <c r="D3" s="96" t="s">
        <v>3</v>
      </c>
      <c r="E3" s="97" t="s">
        <v>4</v>
      </c>
      <c r="F3" s="97" t="s">
        <v>5</v>
      </c>
      <c r="G3" s="97" t="s">
        <v>6</v>
      </c>
      <c r="H3" s="97" t="s">
        <v>7</v>
      </c>
      <c r="I3" s="97" t="s">
        <v>8</v>
      </c>
      <c r="J3" s="97" t="s">
        <v>9</v>
      </c>
      <c r="K3" s="86" t="s">
        <v>10</v>
      </c>
      <c r="L3" s="87" t="s">
        <v>11</v>
      </c>
      <c r="M3" s="88"/>
      <c r="N3" s="89" t="s">
        <v>12</v>
      </c>
      <c r="O3" s="91" t="s">
        <v>13</v>
      </c>
      <c r="P3" s="91"/>
      <c r="Q3" s="77" t="s">
        <v>14</v>
      </c>
      <c r="R3" s="77" t="s">
        <v>15</v>
      </c>
    </row>
    <row r="4" spans="1:18" ht="65.25" customHeight="1">
      <c r="A4" s="94"/>
      <c r="B4" s="95"/>
      <c r="C4" s="95"/>
      <c r="D4" s="96"/>
      <c r="E4" s="97"/>
      <c r="F4" s="97"/>
      <c r="G4" s="97"/>
      <c r="H4" s="97"/>
      <c r="I4" s="97"/>
      <c r="J4" s="97"/>
      <c r="K4" s="86"/>
      <c r="L4" s="4" t="s">
        <v>16</v>
      </c>
      <c r="M4" s="4" t="s">
        <v>17</v>
      </c>
      <c r="N4" s="90"/>
      <c r="O4" s="4" t="s">
        <v>16</v>
      </c>
      <c r="P4" s="4" t="s">
        <v>17</v>
      </c>
      <c r="Q4" s="78"/>
      <c r="R4" s="78"/>
    </row>
    <row r="5" spans="1:18" ht="12.75">
      <c r="A5" s="83" t="s">
        <v>18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5"/>
    </row>
    <row r="6" spans="1:18" ht="12.75">
      <c r="A6" s="5">
        <v>1</v>
      </c>
      <c r="B6" s="80" t="s">
        <v>19</v>
      </c>
      <c r="C6" s="80"/>
      <c r="D6" s="5">
        <v>5</v>
      </c>
      <c r="E6" s="5">
        <v>77</v>
      </c>
      <c r="F6" s="5"/>
      <c r="G6" s="5">
        <v>5</v>
      </c>
      <c r="H6" s="5">
        <v>445.8</v>
      </c>
      <c r="I6" s="5">
        <v>964.3</v>
      </c>
      <c r="J6" s="5">
        <v>4343</v>
      </c>
      <c r="K6" s="6">
        <v>3540.8</v>
      </c>
      <c r="L6" s="7">
        <v>246599.04</v>
      </c>
      <c r="M6" s="7">
        <v>79485.52</v>
      </c>
      <c r="N6" s="8">
        <f aca="true" t="shared" si="0" ref="N6:N12">L6+M6</f>
        <v>326084.56</v>
      </c>
      <c r="O6" s="8">
        <v>244581.12</v>
      </c>
      <c r="P6" s="8">
        <v>78835.09</v>
      </c>
      <c r="Q6" s="9">
        <f aca="true" t="shared" si="1" ref="Q6:Q12">SUM(O6:P6)</f>
        <v>323416.20999999996</v>
      </c>
      <c r="R6" s="9">
        <f aca="true" t="shared" si="2" ref="R6:R13">Q6-N6</f>
        <v>-2668.350000000035</v>
      </c>
    </row>
    <row r="7" spans="1:18" ht="12.75">
      <c r="A7" s="5">
        <v>2</v>
      </c>
      <c r="B7" s="80" t="s">
        <v>20</v>
      </c>
      <c r="C7" s="80"/>
      <c r="D7" s="5">
        <v>5</v>
      </c>
      <c r="E7" s="5">
        <v>50</v>
      </c>
      <c r="F7" s="5"/>
      <c r="G7" s="5">
        <v>3</v>
      </c>
      <c r="H7" s="5">
        <v>305.7</v>
      </c>
      <c r="I7" s="5">
        <v>620.2</v>
      </c>
      <c r="J7" s="5">
        <v>3263</v>
      </c>
      <c r="K7" s="6">
        <v>2291.9</v>
      </c>
      <c r="L7" s="7">
        <v>158883.92</v>
      </c>
      <c r="M7" s="7">
        <v>51212.52</v>
      </c>
      <c r="N7" s="8">
        <f t="shared" si="0"/>
        <v>210096.44</v>
      </c>
      <c r="O7" s="8">
        <v>149490.39</v>
      </c>
      <c r="P7" s="8">
        <v>48184.73</v>
      </c>
      <c r="Q7" s="9">
        <f t="shared" si="1"/>
        <v>197675.12000000002</v>
      </c>
      <c r="R7" s="9">
        <f t="shared" si="2"/>
        <v>-12421.319999999978</v>
      </c>
    </row>
    <row r="8" spans="1:18" ht="12.75">
      <c r="A8" s="5">
        <v>3</v>
      </c>
      <c r="B8" s="80" t="s">
        <v>21</v>
      </c>
      <c r="C8" s="80"/>
      <c r="D8" s="5">
        <v>5</v>
      </c>
      <c r="E8" s="5">
        <v>100</v>
      </c>
      <c r="F8" s="5"/>
      <c r="G8" s="5">
        <v>6</v>
      </c>
      <c r="H8" s="5">
        <v>620</v>
      </c>
      <c r="I8" s="5">
        <v>1231.7</v>
      </c>
      <c r="J8" s="5">
        <v>5382</v>
      </c>
      <c r="K8" s="6">
        <v>4552.2</v>
      </c>
      <c r="L8" s="7">
        <v>320781.35</v>
      </c>
      <c r="M8" s="7">
        <v>103395.68</v>
      </c>
      <c r="N8" s="8">
        <f t="shared" si="0"/>
        <v>424177.02999999997</v>
      </c>
      <c r="O8" s="8">
        <v>303638.67</v>
      </c>
      <c r="P8" s="8">
        <v>97870.17</v>
      </c>
      <c r="Q8" s="9">
        <f t="shared" si="1"/>
        <v>401508.83999999997</v>
      </c>
      <c r="R8" s="9">
        <f t="shared" si="2"/>
        <v>-22668.190000000002</v>
      </c>
    </row>
    <row r="9" spans="1:18" ht="12.75">
      <c r="A9" s="5">
        <v>4</v>
      </c>
      <c r="B9" s="80" t="s">
        <v>22</v>
      </c>
      <c r="C9" s="80"/>
      <c r="D9" s="5">
        <v>5</v>
      </c>
      <c r="E9" s="5">
        <v>109</v>
      </c>
      <c r="F9" s="5"/>
      <c r="G9" s="5">
        <v>7</v>
      </c>
      <c r="H9" s="5">
        <v>679.8</v>
      </c>
      <c r="I9" s="5">
        <v>1296.8</v>
      </c>
      <c r="J9" s="5">
        <v>4094</v>
      </c>
      <c r="K9" s="6">
        <v>4821.2</v>
      </c>
      <c r="L9" s="7">
        <v>340063.25</v>
      </c>
      <c r="M9" s="7">
        <v>109611.1</v>
      </c>
      <c r="N9" s="8">
        <f t="shared" si="0"/>
        <v>449674.35</v>
      </c>
      <c r="O9" s="8">
        <v>333101.63</v>
      </c>
      <c r="P9" s="8">
        <v>107367.19</v>
      </c>
      <c r="Q9" s="9">
        <f t="shared" si="1"/>
        <v>440468.82</v>
      </c>
      <c r="R9" s="9">
        <f t="shared" si="2"/>
        <v>-9205.52999999997</v>
      </c>
    </row>
    <row r="10" spans="1:18" ht="12.75">
      <c r="A10" s="5">
        <v>5</v>
      </c>
      <c r="B10" s="80" t="s">
        <v>23</v>
      </c>
      <c r="C10" s="80"/>
      <c r="D10" s="5">
        <v>5</v>
      </c>
      <c r="E10" s="5">
        <v>139</v>
      </c>
      <c r="F10" s="5"/>
      <c r="G10" s="5">
        <v>9</v>
      </c>
      <c r="H10" s="5">
        <v>788.1</v>
      </c>
      <c r="I10" s="5">
        <v>1632.4</v>
      </c>
      <c r="J10" s="5">
        <v>6410</v>
      </c>
      <c r="K10" s="6">
        <v>6145.2</v>
      </c>
      <c r="L10" s="7">
        <v>432164</v>
      </c>
      <c r="M10" s="7">
        <v>139297.28</v>
      </c>
      <c r="N10" s="8">
        <f t="shared" si="0"/>
        <v>571461.28</v>
      </c>
      <c r="O10" s="8">
        <v>424390.73</v>
      </c>
      <c r="P10" s="8">
        <v>136791.76</v>
      </c>
      <c r="Q10" s="9">
        <f t="shared" si="1"/>
        <v>561182.49</v>
      </c>
      <c r="R10" s="9">
        <f t="shared" si="2"/>
        <v>-10278.790000000037</v>
      </c>
    </row>
    <row r="11" spans="1:18" ht="12.75">
      <c r="A11" s="5">
        <v>6</v>
      </c>
      <c r="B11" s="80" t="s">
        <v>24</v>
      </c>
      <c r="C11" s="80"/>
      <c r="D11" s="5">
        <v>5</v>
      </c>
      <c r="E11" s="5">
        <v>110</v>
      </c>
      <c r="F11" s="5"/>
      <c r="G11" s="5">
        <v>7</v>
      </c>
      <c r="H11" s="5">
        <v>609.7</v>
      </c>
      <c r="I11" s="5">
        <v>1282.6</v>
      </c>
      <c r="J11" s="5">
        <v>5832</v>
      </c>
      <c r="K11" s="6">
        <v>4850.2</v>
      </c>
      <c r="L11" s="7">
        <v>338774.96</v>
      </c>
      <c r="M11" s="7">
        <v>109195.76</v>
      </c>
      <c r="N11" s="8">
        <f t="shared" si="0"/>
        <v>447970.72000000003</v>
      </c>
      <c r="O11" s="8">
        <v>318304.05</v>
      </c>
      <c r="P11" s="8">
        <v>102597.47</v>
      </c>
      <c r="Q11" s="9">
        <f t="shared" si="1"/>
        <v>420901.52</v>
      </c>
      <c r="R11" s="9">
        <f t="shared" si="2"/>
        <v>-27069.20000000001</v>
      </c>
    </row>
    <row r="12" spans="1:18" ht="12.75">
      <c r="A12" s="5">
        <v>7</v>
      </c>
      <c r="B12" s="80" t="s">
        <v>25</v>
      </c>
      <c r="C12" s="80"/>
      <c r="D12" s="5">
        <v>5</v>
      </c>
      <c r="E12" s="5">
        <v>110</v>
      </c>
      <c r="F12" s="5"/>
      <c r="G12" s="5">
        <v>7</v>
      </c>
      <c r="H12" s="5">
        <v>629.7</v>
      </c>
      <c r="I12" s="5">
        <v>1308.7</v>
      </c>
      <c r="J12" s="5">
        <v>5214</v>
      </c>
      <c r="K12" s="6">
        <v>4827.8</v>
      </c>
      <c r="L12" s="7">
        <v>338764.9</v>
      </c>
      <c r="M12" s="7">
        <v>109192.91</v>
      </c>
      <c r="N12" s="8">
        <f t="shared" si="0"/>
        <v>447957.81000000006</v>
      </c>
      <c r="O12" s="8">
        <v>326255.94</v>
      </c>
      <c r="P12" s="8">
        <v>105160.94</v>
      </c>
      <c r="Q12" s="9">
        <f t="shared" si="1"/>
        <v>431416.88</v>
      </c>
      <c r="R12" s="9">
        <f t="shared" si="2"/>
        <v>-16540.93000000005</v>
      </c>
    </row>
    <row r="13" spans="1:18" ht="12.75">
      <c r="A13" s="10"/>
      <c r="B13" s="81" t="s">
        <v>26</v>
      </c>
      <c r="C13" s="82"/>
      <c r="D13" s="10">
        <f>SUM(D6:D12)</f>
        <v>35</v>
      </c>
      <c r="E13" s="10">
        <f>SUM(E6:E12)</f>
        <v>695</v>
      </c>
      <c r="F13" s="10"/>
      <c r="G13" s="10">
        <f aca="true" t="shared" si="3" ref="G13:Q13">SUM(G6:G12)</f>
        <v>44</v>
      </c>
      <c r="H13" s="10">
        <f t="shared" si="3"/>
        <v>4078.8</v>
      </c>
      <c r="I13" s="10">
        <f t="shared" si="3"/>
        <v>8336.7</v>
      </c>
      <c r="J13" s="10">
        <f t="shared" si="3"/>
        <v>34538</v>
      </c>
      <c r="K13" s="11">
        <f t="shared" si="3"/>
        <v>31029.300000000003</v>
      </c>
      <c r="L13" s="9">
        <f t="shared" si="3"/>
        <v>2176031.42</v>
      </c>
      <c r="M13" s="9">
        <f t="shared" si="3"/>
        <v>701390.77</v>
      </c>
      <c r="N13" s="12">
        <f t="shared" si="3"/>
        <v>2877422.19</v>
      </c>
      <c r="O13" s="12">
        <f t="shared" si="3"/>
        <v>2099762.5300000003</v>
      </c>
      <c r="P13" s="12">
        <f t="shared" si="3"/>
        <v>676807.3500000001</v>
      </c>
      <c r="Q13" s="9">
        <f t="shared" si="3"/>
        <v>2776569.88</v>
      </c>
      <c r="R13" s="9">
        <f t="shared" si="2"/>
        <v>-100852.31000000006</v>
      </c>
    </row>
    <row r="14" spans="1:18" ht="12.75">
      <c r="A14" s="83" t="s">
        <v>27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5"/>
    </row>
    <row r="15" spans="1:18" ht="12.75">
      <c r="A15" s="5">
        <v>8</v>
      </c>
      <c r="B15" s="80" t="s">
        <v>28</v>
      </c>
      <c r="C15" s="80"/>
      <c r="D15" s="5">
        <v>9</v>
      </c>
      <c r="E15" s="5">
        <v>172</v>
      </c>
      <c r="F15" s="5">
        <v>5</v>
      </c>
      <c r="G15" s="5">
        <v>5</v>
      </c>
      <c r="H15" s="5">
        <v>1343.8</v>
      </c>
      <c r="I15" s="5">
        <v>1470.1</v>
      </c>
      <c r="J15" s="5">
        <v>4278</v>
      </c>
      <c r="K15" s="6">
        <v>8863</v>
      </c>
      <c r="L15" s="7">
        <v>768895.84</v>
      </c>
      <c r="M15" s="7">
        <v>277683.01</v>
      </c>
      <c r="N15" s="8">
        <f>L15+M15</f>
        <v>1046578.85</v>
      </c>
      <c r="O15" s="8">
        <v>757288.63</v>
      </c>
      <c r="P15" s="8">
        <v>273491.12</v>
      </c>
      <c r="Q15" s="9">
        <f aca="true" t="shared" si="4" ref="Q15:Q30">SUM(O15:P15)</f>
        <v>1030779.75</v>
      </c>
      <c r="R15" s="9">
        <f aca="true" t="shared" si="5" ref="R15:R31">Q15-N15</f>
        <v>-15799.099999999977</v>
      </c>
    </row>
    <row r="16" spans="1:18" ht="12.75">
      <c r="A16" s="5">
        <v>9</v>
      </c>
      <c r="B16" s="80" t="s">
        <v>29</v>
      </c>
      <c r="C16" s="80"/>
      <c r="D16" s="5">
        <v>10</v>
      </c>
      <c r="E16" s="5">
        <v>78</v>
      </c>
      <c r="F16" s="5">
        <v>2</v>
      </c>
      <c r="G16" s="5">
        <v>2</v>
      </c>
      <c r="H16" s="5">
        <v>623.5</v>
      </c>
      <c r="I16" s="5">
        <v>600.5</v>
      </c>
      <c r="J16" s="5">
        <v>1933</v>
      </c>
      <c r="K16" s="6">
        <v>4147.2</v>
      </c>
      <c r="L16" s="7">
        <v>415849.12</v>
      </c>
      <c r="M16" s="7">
        <v>130534.53</v>
      </c>
      <c r="N16" s="8">
        <f>L16+M16</f>
        <v>546383.65</v>
      </c>
      <c r="O16" s="8">
        <v>409146.21</v>
      </c>
      <c r="P16" s="8">
        <v>128430.5</v>
      </c>
      <c r="Q16" s="9">
        <f t="shared" si="4"/>
        <v>537576.71</v>
      </c>
      <c r="R16" s="9">
        <f t="shared" si="5"/>
        <v>-8806.94000000006</v>
      </c>
    </row>
    <row r="17" spans="1:18" ht="12.75">
      <c r="A17" s="5">
        <v>10</v>
      </c>
      <c r="B17" s="80" t="s">
        <v>30</v>
      </c>
      <c r="C17" s="80"/>
      <c r="D17" s="5">
        <v>9</v>
      </c>
      <c r="E17" s="5">
        <v>142</v>
      </c>
      <c r="F17" s="5">
        <v>4</v>
      </c>
      <c r="G17" s="5">
        <v>4</v>
      </c>
      <c r="H17" s="5">
        <v>1082.2</v>
      </c>
      <c r="I17" s="5">
        <v>1170.7</v>
      </c>
      <c r="J17" s="5">
        <v>5957</v>
      </c>
      <c r="K17" s="6">
        <v>7266.7</v>
      </c>
      <c r="L17" s="7">
        <v>727487.35</v>
      </c>
      <c r="M17" s="7">
        <v>228357.86</v>
      </c>
      <c r="N17" s="8">
        <f>L17+M17</f>
        <v>955845.21</v>
      </c>
      <c r="O17" s="8">
        <v>698058.95</v>
      </c>
      <c r="P17" s="8">
        <v>219120.3</v>
      </c>
      <c r="Q17" s="9">
        <f t="shared" si="4"/>
        <v>917179.25</v>
      </c>
      <c r="R17" s="9">
        <f t="shared" si="5"/>
        <v>-38665.95999999996</v>
      </c>
    </row>
    <row r="18" spans="1:18" ht="12.75">
      <c r="A18" s="5">
        <v>11</v>
      </c>
      <c r="B18" s="80" t="s">
        <v>31</v>
      </c>
      <c r="C18" s="80"/>
      <c r="D18" s="5">
        <v>9</v>
      </c>
      <c r="E18" s="5">
        <v>34</v>
      </c>
      <c r="F18" s="5">
        <v>1</v>
      </c>
      <c r="G18" s="5">
        <v>1</v>
      </c>
      <c r="H18" s="5">
        <v>670.3</v>
      </c>
      <c r="I18" s="5">
        <v>280.2</v>
      </c>
      <c r="J18" s="5">
        <v>3515</v>
      </c>
      <c r="K18" s="6">
        <v>1640.1</v>
      </c>
      <c r="L18" s="7">
        <v>165063.52</v>
      </c>
      <c r="M18" s="7">
        <v>51813.28</v>
      </c>
      <c r="N18" s="8">
        <f>SUM(L18:M18)</f>
        <v>216876.8</v>
      </c>
      <c r="O18" s="8">
        <v>161266.21</v>
      </c>
      <c r="P18" s="8">
        <v>50621.31</v>
      </c>
      <c r="Q18" s="9">
        <f t="shared" si="4"/>
        <v>211887.52</v>
      </c>
      <c r="R18" s="9">
        <f t="shared" si="5"/>
        <v>-4989.279999999999</v>
      </c>
    </row>
    <row r="19" spans="1:18" ht="12.75">
      <c r="A19" s="5">
        <v>12</v>
      </c>
      <c r="B19" s="80" t="s">
        <v>32</v>
      </c>
      <c r="C19" s="80"/>
      <c r="D19" s="5">
        <v>9</v>
      </c>
      <c r="E19" s="5">
        <v>213</v>
      </c>
      <c r="F19" s="5">
        <v>6</v>
      </c>
      <c r="G19" s="5">
        <v>6</v>
      </c>
      <c r="H19" s="5">
        <v>1637.3</v>
      </c>
      <c r="I19" s="5">
        <v>1762.4</v>
      </c>
      <c r="J19" s="5">
        <v>7777</v>
      </c>
      <c r="K19" s="6">
        <v>10994.5</v>
      </c>
      <c r="L19" s="7">
        <v>1102271.8</v>
      </c>
      <c r="M19" s="7">
        <v>346000.55</v>
      </c>
      <c r="N19" s="8">
        <f>L19+M19</f>
        <v>1448272.35</v>
      </c>
      <c r="O19" s="8">
        <v>1039366.6</v>
      </c>
      <c r="P19" s="8">
        <v>326254.76</v>
      </c>
      <c r="Q19" s="9">
        <f t="shared" si="4"/>
        <v>1365621.3599999999</v>
      </c>
      <c r="R19" s="9">
        <f t="shared" si="5"/>
        <v>-82650.99000000022</v>
      </c>
    </row>
    <row r="20" spans="1:18" ht="12.75">
      <c r="A20" s="5">
        <v>13</v>
      </c>
      <c r="B20" s="80" t="s">
        <v>33</v>
      </c>
      <c r="C20" s="80"/>
      <c r="D20" s="5">
        <v>9</v>
      </c>
      <c r="E20" s="5">
        <v>35</v>
      </c>
      <c r="F20" s="5">
        <v>1</v>
      </c>
      <c r="G20" s="5">
        <v>1</v>
      </c>
      <c r="H20" s="5">
        <v>282.4</v>
      </c>
      <c r="I20" s="5">
        <v>281.6</v>
      </c>
      <c r="J20" s="5">
        <v>2272</v>
      </c>
      <c r="K20" s="6">
        <v>1789.8</v>
      </c>
      <c r="L20" s="7">
        <v>172856.16</v>
      </c>
      <c r="M20" s="7">
        <v>54259.44</v>
      </c>
      <c r="N20" s="8">
        <f>L20+M20</f>
        <v>227115.6</v>
      </c>
      <c r="O20" s="8">
        <v>175822.06</v>
      </c>
      <c r="P20" s="8">
        <v>55190.43</v>
      </c>
      <c r="Q20" s="9">
        <f t="shared" si="4"/>
        <v>231012.49</v>
      </c>
      <c r="R20" s="9">
        <f t="shared" si="5"/>
        <v>3896.889999999985</v>
      </c>
    </row>
    <row r="21" spans="1:18" ht="12.75">
      <c r="A21" s="5">
        <v>14</v>
      </c>
      <c r="B21" s="80" t="s">
        <v>34</v>
      </c>
      <c r="C21" s="80"/>
      <c r="D21" s="5">
        <v>9</v>
      </c>
      <c r="E21" s="5">
        <v>177</v>
      </c>
      <c r="F21" s="5">
        <v>5</v>
      </c>
      <c r="G21" s="5">
        <v>5</v>
      </c>
      <c r="H21" s="5">
        <v>1360.2</v>
      </c>
      <c r="I21" s="5">
        <v>1464.1</v>
      </c>
      <c r="J21" s="5">
        <v>9415</v>
      </c>
      <c r="K21" s="6">
        <v>9174.2</v>
      </c>
      <c r="L21" s="7">
        <v>921844.57</v>
      </c>
      <c r="M21" s="7">
        <v>289366.28</v>
      </c>
      <c r="N21" s="8">
        <f>L21+M21</f>
        <v>1211210.85</v>
      </c>
      <c r="O21" s="8">
        <v>878391.46</v>
      </c>
      <c r="P21" s="8">
        <v>275726.38</v>
      </c>
      <c r="Q21" s="9">
        <f t="shared" si="4"/>
        <v>1154117.8399999999</v>
      </c>
      <c r="R21" s="9">
        <f t="shared" si="5"/>
        <v>-57093.01000000024</v>
      </c>
    </row>
    <row r="22" spans="1:18" ht="12.75">
      <c r="A22" s="5">
        <v>15</v>
      </c>
      <c r="B22" s="80" t="s">
        <v>35</v>
      </c>
      <c r="C22" s="80"/>
      <c r="D22" s="5">
        <v>9</v>
      </c>
      <c r="E22" s="5">
        <v>213</v>
      </c>
      <c r="F22" s="5">
        <v>6</v>
      </c>
      <c r="G22" s="5">
        <v>6</v>
      </c>
      <c r="H22" s="5">
        <v>1665.5</v>
      </c>
      <c r="I22" s="5">
        <v>1760.1</v>
      </c>
      <c r="J22" s="5">
        <v>9999</v>
      </c>
      <c r="K22" s="6">
        <v>11065</v>
      </c>
      <c r="L22" s="7">
        <v>1109087.58</v>
      </c>
      <c r="M22" s="7">
        <v>348141.37</v>
      </c>
      <c r="N22" s="8">
        <f>L22+M22</f>
        <v>1457228.9500000002</v>
      </c>
      <c r="O22" s="8">
        <v>1041872.75</v>
      </c>
      <c r="P22" s="8">
        <v>327042.71</v>
      </c>
      <c r="Q22" s="9">
        <f t="shared" si="4"/>
        <v>1368915.46</v>
      </c>
      <c r="R22" s="9">
        <f t="shared" si="5"/>
        <v>-88313.49000000022</v>
      </c>
    </row>
    <row r="23" spans="1:18" ht="12.75">
      <c r="A23" s="5">
        <v>16</v>
      </c>
      <c r="B23" s="80" t="s">
        <v>36</v>
      </c>
      <c r="C23" s="80"/>
      <c r="D23" s="5">
        <v>9</v>
      </c>
      <c r="E23" s="5">
        <v>213</v>
      </c>
      <c r="F23" s="5">
        <v>6</v>
      </c>
      <c r="G23" s="5">
        <v>6</v>
      </c>
      <c r="H23" s="5">
        <v>1684.1</v>
      </c>
      <c r="I23" s="5">
        <v>1750.2</v>
      </c>
      <c r="J23" s="5">
        <v>7454</v>
      </c>
      <c r="K23" s="6">
        <v>10840.2</v>
      </c>
      <c r="L23" s="7">
        <v>1085071.9</v>
      </c>
      <c r="M23" s="7">
        <v>340602.23</v>
      </c>
      <c r="N23" s="8">
        <f>L23+M23</f>
        <v>1425674.13</v>
      </c>
      <c r="O23" s="8">
        <v>1051070.5</v>
      </c>
      <c r="P23" s="8">
        <v>329929.25</v>
      </c>
      <c r="Q23" s="9">
        <f t="shared" si="4"/>
        <v>1380999.75</v>
      </c>
      <c r="R23" s="9">
        <f t="shared" si="5"/>
        <v>-44674.37999999989</v>
      </c>
    </row>
    <row r="24" spans="1:18" ht="12.75">
      <c r="A24" s="5">
        <v>17</v>
      </c>
      <c r="B24" s="80" t="s">
        <v>37</v>
      </c>
      <c r="C24" s="80"/>
      <c r="D24" s="5">
        <v>9</v>
      </c>
      <c r="E24" s="5">
        <v>142</v>
      </c>
      <c r="F24" s="5">
        <v>4</v>
      </c>
      <c r="G24" s="5">
        <v>4</v>
      </c>
      <c r="H24" s="5">
        <v>946.4</v>
      </c>
      <c r="I24" s="5">
        <v>1159.4</v>
      </c>
      <c r="J24" s="5">
        <v>6191</v>
      </c>
      <c r="K24" s="6">
        <v>7173.2</v>
      </c>
      <c r="L24" s="7">
        <v>723043.74</v>
      </c>
      <c r="M24" s="7">
        <v>226962.96</v>
      </c>
      <c r="N24" s="8">
        <f>SUM(L24:M24)</f>
        <v>950006.7</v>
      </c>
      <c r="O24" s="8">
        <v>647907.28</v>
      </c>
      <c r="P24" s="8">
        <v>203377.68</v>
      </c>
      <c r="Q24" s="9">
        <f t="shared" si="4"/>
        <v>851284.96</v>
      </c>
      <c r="R24" s="9">
        <f t="shared" si="5"/>
        <v>-98721.73999999999</v>
      </c>
    </row>
    <row r="25" spans="1:18" ht="12.75">
      <c r="A25" s="5">
        <v>18</v>
      </c>
      <c r="B25" s="80" t="s">
        <v>38</v>
      </c>
      <c r="C25" s="80"/>
      <c r="D25" s="5">
        <v>9</v>
      </c>
      <c r="E25" s="5">
        <v>212</v>
      </c>
      <c r="F25" s="5">
        <v>6</v>
      </c>
      <c r="G25" s="5">
        <v>6</v>
      </c>
      <c r="H25" s="5">
        <v>1708.1</v>
      </c>
      <c r="I25" s="5">
        <v>1751.9</v>
      </c>
      <c r="J25" s="5">
        <v>6532</v>
      </c>
      <c r="K25" s="6">
        <v>10814.2</v>
      </c>
      <c r="L25" s="7">
        <v>1089610.11</v>
      </c>
      <c r="M25" s="7">
        <v>342027.22</v>
      </c>
      <c r="N25" s="8">
        <f>L25+M25</f>
        <v>1431637.33</v>
      </c>
      <c r="O25" s="8">
        <v>1008206.26</v>
      </c>
      <c r="P25" s="8">
        <v>316474.66</v>
      </c>
      <c r="Q25" s="9">
        <f t="shared" si="4"/>
        <v>1324680.92</v>
      </c>
      <c r="R25" s="9">
        <f t="shared" si="5"/>
        <v>-106956.41000000015</v>
      </c>
    </row>
    <row r="26" spans="1:18" ht="12.75">
      <c r="A26" s="5">
        <v>19</v>
      </c>
      <c r="B26" s="80" t="s">
        <v>39</v>
      </c>
      <c r="C26" s="80"/>
      <c r="D26" s="5">
        <v>9</v>
      </c>
      <c r="E26" s="5">
        <v>34</v>
      </c>
      <c r="F26" s="5">
        <v>1</v>
      </c>
      <c r="G26" s="5">
        <v>1</v>
      </c>
      <c r="H26" s="5">
        <v>287.2</v>
      </c>
      <c r="I26" s="5">
        <v>280.7</v>
      </c>
      <c r="J26" s="5">
        <v>2861</v>
      </c>
      <c r="K26" s="6">
        <v>1656.8</v>
      </c>
      <c r="L26" s="7">
        <v>165314.24</v>
      </c>
      <c r="M26" s="7">
        <v>51891.68</v>
      </c>
      <c r="N26" s="8">
        <f>SUM(L26:M26)</f>
        <v>217205.91999999998</v>
      </c>
      <c r="O26" s="8">
        <v>162554.37</v>
      </c>
      <c r="P26" s="8">
        <v>51025.37</v>
      </c>
      <c r="Q26" s="9">
        <f t="shared" si="4"/>
        <v>213579.74</v>
      </c>
      <c r="R26" s="9">
        <f t="shared" si="5"/>
        <v>-3626.179999999993</v>
      </c>
    </row>
    <row r="27" spans="1:18" ht="12.75">
      <c r="A27" s="5">
        <v>20</v>
      </c>
      <c r="B27" s="80" t="s">
        <v>40</v>
      </c>
      <c r="C27" s="80"/>
      <c r="D27" s="5">
        <v>9</v>
      </c>
      <c r="E27" s="5">
        <v>214</v>
      </c>
      <c r="F27" s="5">
        <v>6</v>
      </c>
      <c r="G27" s="5">
        <v>6</v>
      </c>
      <c r="H27" s="5">
        <v>1704.9</v>
      </c>
      <c r="I27" s="5">
        <v>1746</v>
      </c>
      <c r="J27" s="5">
        <v>6792</v>
      </c>
      <c r="K27" s="6">
        <v>10901.9</v>
      </c>
      <c r="L27" s="7">
        <v>1091323.01</v>
      </c>
      <c r="M27" s="7">
        <v>342565.28</v>
      </c>
      <c r="N27" s="8">
        <f>L27+M27</f>
        <v>1433888.29</v>
      </c>
      <c r="O27" s="8">
        <v>1053564.45</v>
      </c>
      <c r="P27" s="8">
        <v>330712.9</v>
      </c>
      <c r="Q27" s="9">
        <f t="shared" si="4"/>
        <v>1384277.35</v>
      </c>
      <c r="R27" s="9">
        <f t="shared" si="5"/>
        <v>-49610.939999999944</v>
      </c>
    </row>
    <row r="28" spans="1:18" ht="12.75">
      <c r="A28" s="5">
        <v>21</v>
      </c>
      <c r="B28" s="80" t="s">
        <v>41</v>
      </c>
      <c r="C28" s="80"/>
      <c r="D28" s="5">
        <v>9</v>
      </c>
      <c r="E28" s="5">
        <v>34</v>
      </c>
      <c r="F28" s="5">
        <v>1</v>
      </c>
      <c r="G28" s="5">
        <v>1</v>
      </c>
      <c r="H28" s="5">
        <v>294.7</v>
      </c>
      <c r="I28" s="5">
        <v>278.5</v>
      </c>
      <c r="J28" s="5">
        <v>3853</v>
      </c>
      <c r="K28" s="6">
        <v>1673.8</v>
      </c>
      <c r="L28" s="7">
        <v>167547.68</v>
      </c>
      <c r="M28" s="7">
        <v>52593.04</v>
      </c>
      <c r="N28" s="8">
        <f>L28+M28</f>
        <v>220140.72</v>
      </c>
      <c r="O28" s="8">
        <v>150336.15</v>
      </c>
      <c r="P28" s="8">
        <v>47190.36</v>
      </c>
      <c r="Q28" s="9">
        <f t="shared" si="4"/>
        <v>197526.51</v>
      </c>
      <c r="R28" s="9">
        <f t="shared" si="5"/>
        <v>-22614.209999999992</v>
      </c>
    </row>
    <row r="29" spans="1:18" ht="12.75">
      <c r="A29" s="5">
        <v>22</v>
      </c>
      <c r="B29" s="80" t="s">
        <v>42</v>
      </c>
      <c r="C29" s="80"/>
      <c r="D29" s="5">
        <v>9</v>
      </c>
      <c r="E29" s="5">
        <v>107</v>
      </c>
      <c r="F29" s="5">
        <v>3</v>
      </c>
      <c r="G29" s="5">
        <v>3</v>
      </c>
      <c r="H29" s="5">
        <v>833.4</v>
      </c>
      <c r="I29" s="5">
        <v>889.9</v>
      </c>
      <c r="J29" s="5">
        <v>3798</v>
      </c>
      <c r="K29" s="6">
        <v>5727.1</v>
      </c>
      <c r="L29" s="7">
        <v>557118.63</v>
      </c>
      <c r="M29" s="7">
        <v>174878.62</v>
      </c>
      <c r="N29" s="8">
        <f>SUM(L29:M29)</f>
        <v>731997.25</v>
      </c>
      <c r="O29" s="8">
        <v>550860.4</v>
      </c>
      <c r="P29" s="8">
        <v>172914.17</v>
      </c>
      <c r="Q29" s="9">
        <f t="shared" si="4"/>
        <v>723774.5700000001</v>
      </c>
      <c r="R29" s="9">
        <f t="shared" si="5"/>
        <v>-8222.679999999935</v>
      </c>
    </row>
    <row r="30" spans="1:18" ht="12.75">
      <c r="A30" s="10"/>
      <c r="B30" s="81" t="s">
        <v>26</v>
      </c>
      <c r="C30" s="82"/>
      <c r="D30" s="10">
        <f aca="true" t="shared" si="6" ref="D30:P30">SUM(D15:D29)</f>
        <v>136</v>
      </c>
      <c r="E30" s="10">
        <f t="shared" si="6"/>
        <v>2020</v>
      </c>
      <c r="F30" s="10">
        <f t="shared" si="6"/>
        <v>57</v>
      </c>
      <c r="G30" s="10">
        <f t="shared" si="6"/>
        <v>57</v>
      </c>
      <c r="H30" s="10">
        <f t="shared" si="6"/>
        <v>16124.000000000002</v>
      </c>
      <c r="I30" s="10">
        <f t="shared" si="6"/>
        <v>16646.300000000003</v>
      </c>
      <c r="J30" s="10">
        <f t="shared" si="6"/>
        <v>82627</v>
      </c>
      <c r="K30" s="11">
        <f t="shared" si="6"/>
        <v>103727.7</v>
      </c>
      <c r="L30" s="9">
        <f t="shared" si="6"/>
        <v>10262385.25</v>
      </c>
      <c r="M30" s="9">
        <f t="shared" si="6"/>
        <v>3257677.3499999996</v>
      </c>
      <c r="N30" s="12">
        <f t="shared" si="6"/>
        <v>13520062.6</v>
      </c>
      <c r="O30" s="12">
        <f t="shared" si="6"/>
        <v>9785712.280000001</v>
      </c>
      <c r="P30" s="12">
        <f t="shared" si="6"/>
        <v>3107501.9</v>
      </c>
      <c r="Q30" s="9">
        <f t="shared" si="4"/>
        <v>12893214.180000002</v>
      </c>
      <c r="R30" s="9">
        <f t="shared" si="5"/>
        <v>-626848.4199999981</v>
      </c>
    </row>
    <row r="31" spans="1:18" ht="12.75">
      <c r="A31" s="10"/>
      <c r="B31" s="79" t="s">
        <v>43</v>
      </c>
      <c r="C31" s="79"/>
      <c r="D31" s="10">
        <f aca="true" t="shared" si="7" ref="D31:Q31">D13+D30</f>
        <v>171</v>
      </c>
      <c r="E31" s="10">
        <f t="shared" si="7"/>
        <v>2715</v>
      </c>
      <c r="F31" s="10">
        <f t="shared" si="7"/>
        <v>57</v>
      </c>
      <c r="G31" s="10">
        <f t="shared" si="7"/>
        <v>101</v>
      </c>
      <c r="H31" s="10">
        <f t="shared" si="7"/>
        <v>20202.800000000003</v>
      </c>
      <c r="I31" s="10">
        <f t="shared" si="7"/>
        <v>24983.000000000004</v>
      </c>
      <c r="J31" s="10">
        <f t="shared" si="7"/>
        <v>117165</v>
      </c>
      <c r="K31" s="10">
        <f t="shared" si="7"/>
        <v>134757</v>
      </c>
      <c r="L31" s="9">
        <f t="shared" si="7"/>
        <v>12438416.67</v>
      </c>
      <c r="M31" s="10">
        <f t="shared" si="7"/>
        <v>3959068.1199999996</v>
      </c>
      <c r="N31" s="9">
        <f t="shared" si="7"/>
        <v>16397484.79</v>
      </c>
      <c r="O31" s="9">
        <f t="shared" si="7"/>
        <v>11885474.810000002</v>
      </c>
      <c r="P31" s="10">
        <f t="shared" si="7"/>
        <v>3784309.25</v>
      </c>
      <c r="Q31" s="9">
        <f t="shared" si="7"/>
        <v>15669784.060000002</v>
      </c>
      <c r="R31" s="9">
        <f t="shared" si="5"/>
        <v>-727700.7299999967</v>
      </c>
    </row>
    <row r="32" spans="1:18" ht="12.75">
      <c r="A32" s="13"/>
      <c r="B32" s="14"/>
      <c r="C32" s="14"/>
      <c r="D32" s="13"/>
      <c r="E32" s="15"/>
      <c r="F32" s="15"/>
      <c r="G32" s="15"/>
      <c r="H32" s="16"/>
      <c r="I32" s="16"/>
      <c r="J32" s="16"/>
      <c r="K32" s="16"/>
      <c r="L32" s="16"/>
      <c r="M32" s="16"/>
      <c r="N32" s="17"/>
      <c r="O32" s="17"/>
      <c r="P32" s="17"/>
      <c r="Q32" s="17"/>
      <c r="R32" s="17"/>
    </row>
    <row r="33" spans="1:18" ht="12.75">
      <c r="A33" s="13"/>
      <c r="B33" s="14"/>
      <c r="C33" s="14"/>
      <c r="D33" s="13"/>
      <c r="E33" s="15"/>
      <c r="F33" s="15"/>
      <c r="G33" s="15"/>
      <c r="H33" s="16"/>
      <c r="I33" s="16"/>
      <c r="J33" s="16"/>
      <c r="K33" s="16"/>
      <c r="L33" s="16"/>
      <c r="M33" s="16"/>
      <c r="N33" s="17"/>
      <c r="O33" s="17"/>
      <c r="P33" s="17"/>
      <c r="Q33" s="17"/>
      <c r="R33" s="17"/>
    </row>
    <row r="34" spans="1:16" ht="12.75">
      <c r="A34" s="1"/>
      <c r="K34" s="3"/>
      <c r="L34" s="1"/>
      <c r="M34" s="1"/>
      <c r="N34" s="1"/>
      <c r="O34" s="1"/>
      <c r="P34" s="1"/>
    </row>
    <row r="35" spans="1:16" ht="12.75">
      <c r="A35" s="1"/>
      <c r="B35" t="s">
        <v>44</v>
      </c>
      <c r="H35" s="3"/>
      <c r="K35" s="3"/>
      <c r="L35" s="1"/>
      <c r="M35" s="1"/>
      <c r="N35" s="1"/>
      <c r="O35" s="1"/>
      <c r="P35" s="1"/>
    </row>
  </sheetData>
  <sheetProtection/>
  <mergeCells count="43">
    <mergeCell ref="C1:M1"/>
    <mergeCell ref="A3:A4"/>
    <mergeCell ref="B3:C4"/>
    <mergeCell ref="D3:D4"/>
    <mergeCell ref="E3:E4"/>
    <mergeCell ref="F3:F4"/>
    <mergeCell ref="G3:G4"/>
    <mergeCell ref="H3:H4"/>
    <mergeCell ref="K3:K4"/>
    <mergeCell ref="L3:M3"/>
    <mergeCell ref="B9:C9"/>
    <mergeCell ref="B10:C10"/>
    <mergeCell ref="B7:C7"/>
    <mergeCell ref="B8:C8"/>
    <mergeCell ref="A5:R5"/>
    <mergeCell ref="B6:C6"/>
    <mergeCell ref="N3:N4"/>
    <mergeCell ref="O3:P3"/>
    <mergeCell ref="I3:I4"/>
    <mergeCell ref="J3:J4"/>
    <mergeCell ref="Q3:Q4"/>
    <mergeCell ref="R3:R4"/>
    <mergeCell ref="B15:C15"/>
    <mergeCell ref="B16:C16"/>
    <mergeCell ref="B17:C17"/>
    <mergeCell ref="B18:C18"/>
    <mergeCell ref="B11:C11"/>
    <mergeCell ref="B12:C12"/>
    <mergeCell ref="B13:C13"/>
    <mergeCell ref="A14:R14"/>
    <mergeCell ref="B19:C19"/>
    <mergeCell ref="B20:C20"/>
    <mergeCell ref="B29:C29"/>
    <mergeCell ref="B30:C30"/>
    <mergeCell ref="B21:C21"/>
    <mergeCell ref="B22:C22"/>
    <mergeCell ref="B31:C31"/>
    <mergeCell ref="B23:C23"/>
    <mergeCell ref="B24:C24"/>
    <mergeCell ref="B25:C25"/>
    <mergeCell ref="B26:C26"/>
    <mergeCell ref="B27:C27"/>
    <mergeCell ref="B28:C2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K26" sqref="K26"/>
    </sheetView>
  </sheetViews>
  <sheetFormatPr defaultColWidth="9.00390625" defaultRowHeight="12.75"/>
  <cols>
    <col min="1" max="1" width="3.375" style="0" customWidth="1"/>
    <col min="3" max="3" width="2.625" style="0" customWidth="1"/>
    <col min="4" max="4" width="4.125" style="0" customWidth="1"/>
    <col min="5" max="5" width="5.375" style="0" customWidth="1"/>
    <col min="6" max="6" width="4.125" style="0" customWidth="1"/>
    <col min="7" max="7" width="4.25390625" style="0" customWidth="1"/>
    <col min="8" max="8" width="8.125" style="0" customWidth="1"/>
    <col min="9" max="10" width="7.75390625" style="0" customWidth="1"/>
    <col min="12" max="12" width="11.25390625" style="0" customWidth="1"/>
    <col min="13" max="13" width="10.125" style="0" customWidth="1"/>
    <col min="14" max="14" width="11.125" style="0" customWidth="1"/>
  </cols>
  <sheetData>
    <row r="1" spans="1:14" ht="12.75">
      <c r="A1" s="1"/>
      <c r="C1" s="92" t="s">
        <v>45</v>
      </c>
      <c r="D1" s="92"/>
      <c r="E1" s="92"/>
      <c r="F1" s="92"/>
      <c r="G1" s="92"/>
      <c r="H1" s="92"/>
      <c r="I1" s="92"/>
      <c r="J1" s="93"/>
      <c r="K1" s="93"/>
      <c r="L1" s="93"/>
      <c r="M1" s="93"/>
      <c r="N1" s="1"/>
    </row>
    <row r="2" spans="1:14" ht="12.75">
      <c r="A2" s="1"/>
      <c r="C2" s="1"/>
      <c r="D2" s="1"/>
      <c r="E2" s="1"/>
      <c r="F2" s="1"/>
      <c r="G2" s="1"/>
      <c r="H2" s="1"/>
      <c r="I2" s="1"/>
      <c r="J2" s="1"/>
      <c r="K2" s="3"/>
      <c r="L2" s="1"/>
      <c r="M2" s="1"/>
      <c r="N2" s="1"/>
    </row>
    <row r="3" spans="1:14" ht="12.75" customHeight="1">
      <c r="A3" s="94" t="s">
        <v>1</v>
      </c>
      <c r="B3" s="95" t="s">
        <v>2</v>
      </c>
      <c r="C3" s="95"/>
      <c r="D3" s="96" t="s">
        <v>3</v>
      </c>
      <c r="E3" s="97" t="s">
        <v>4</v>
      </c>
      <c r="F3" s="97" t="s">
        <v>5</v>
      </c>
      <c r="G3" s="97" t="s">
        <v>6</v>
      </c>
      <c r="H3" s="97" t="s">
        <v>7</v>
      </c>
      <c r="I3" s="97" t="s">
        <v>8</v>
      </c>
      <c r="J3" s="97" t="s">
        <v>9</v>
      </c>
      <c r="K3" s="86" t="s">
        <v>10</v>
      </c>
      <c r="L3" s="87" t="s">
        <v>11</v>
      </c>
      <c r="M3" s="88"/>
      <c r="N3" s="89" t="s">
        <v>12</v>
      </c>
    </row>
    <row r="4" spans="1:14" ht="65.25" customHeight="1">
      <c r="A4" s="94"/>
      <c r="B4" s="95"/>
      <c r="C4" s="95"/>
      <c r="D4" s="96"/>
      <c r="E4" s="97"/>
      <c r="F4" s="97"/>
      <c r="G4" s="97"/>
      <c r="H4" s="97"/>
      <c r="I4" s="97"/>
      <c r="J4" s="97"/>
      <c r="K4" s="86"/>
      <c r="L4" s="4" t="s">
        <v>16</v>
      </c>
      <c r="M4" s="4" t="s">
        <v>17</v>
      </c>
      <c r="N4" s="90"/>
    </row>
    <row r="5" spans="1:14" ht="12.75">
      <c r="A5" s="83" t="s">
        <v>18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12.75">
      <c r="A6" s="5">
        <v>1</v>
      </c>
      <c r="B6" s="80" t="s">
        <v>19</v>
      </c>
      <c r="C6" s="80"/>
      <c r="D6" s="5">
        <v>5</v>
      </c>
      <c r="E6" s="5">
        <v>77</v>
      </c>
      <c r="F6" s="5"/>
      <c r="G6" s="5">
        <v>5</v>
      </c>
      <c r="H6" s="5">
        <v>445.8</v>
      </c>
      <c r="I6" s="5">
        <v>964.3</v>
      </c>
      <c r="J6" s="5">
        <v>4343</v>
      </c>
      <c r="K6" s="6">
        <v>3540.8</v>
      </c>
      <c r="L6" s="7">
        <v>30824.88</v>
      </c>
      <c r="M6" s="7">
        <v>9935.69</v>
      </c>
      <c r="N6" s="8">
        <f aca="true" t="shared" si="0" ref="N6:N12">L6+M6</f>
        <v>40760.57</v>
      </c>
    </row>
    <row r="7" spans="1:14" ht="12.75">
      <c r="A7" s="5">
        <v>2</v>
      </c>
      <c r="B7" s="80" t="s">
        <v>20</v>
      </c>
      <c r="C7" s="80"/>
      <c r="D7" s="5">
        <v>5</v>
      </c>
      <c r="E7" s="5">
        <v>50</v>
      </c>
      <c r="F7" s="5"/>
      <c r="G7" s="5">
        <v>3</v>
      </c>
      <c r="H7" s="5">
        <v>305.7</v>
      </c>
      <c r="I7" s="5">
        <v>620.2</v>
      </c>
      <c r="J7" s="5">
        <v>3263</v>
      </c>
      <c r="K7" s="6">
        <v>2291.9</v>
      </c>
      <c r="L7" s="7">
        <v>20123.78</v>
      </c>
      <c r="M7" s="7">
        <v>6486.43</v>
      </c>
      <c r="N7" s="8">
        <f t="shared" si="0"/>
        <v>26610.21</v>
      </c>
    </row>
    <row r="8" spans="1:14" ht="12.75">
      <c r="A8" s="5">
        <v>3</v>
      </c>
      <c r="B8" s="80" t="s">
        <v>21</v>
      </c>
      <c r="C8" s="80"/>
      <c r="D8" s="5">
        <v>5</v>
      </c>
      <c r="E8" s="5">
        <v>100</v>
      </c>
      <c r="F8" s="5"/>
      <c r="G8" s="5">
        <v>6</v>
      </c>
      <c r="H8" s="5">
        <v>620</v>
      </c>
      <c r="I8" s="5">
        <v>1231.7</v>
      </c>
      <c r="J8" s="5">
        <v>5382</v>
      </c>
      <c r="K8" s="6">
        <v>4552.2</v>
      </c>
      <c r="L8" s="7">
        <v>40057.82</v>
      </c>
      <c r="M8" s="7">
        <v>12911.62</v>
      </c>
      <c r="N8" s="8">
        <f t="shared" si="0"/>
        <v>52969.44</v>
      </c>
    </row>
    <row r="9" spans="1:14" ht="12.75">
      <c r="A9" s="5">
        <v>4</v>
      </c>
      <c r="B9" s="80" t="s">
        <v>22</v>
      </c>
      <c r="C9" s="80"/>
      <c r="D9" s="5">
        <v>5</v>
      </c>
      <c r="E9" s="5">
        <v>109</v>
      </c>
      <c r="F9" s="5"/>
      <c r="G9" s="5">
        <v>7</v>
      </c>
      <c r="H9" s="5">
        <v>679.8</v>
      </c>
      <c r="I9" s="5">
        <v>1296.8</v>
      </c>
      <c r="J9" s="5">
        <v>4094</v>
      </c>
      <c r="K9" s="6">
        <v>4821.2</v>
      </c>
      <c r="L9" s="7">
        <v>42506.58</v>
      </c>
      <c r="M9" s="7">
        <v>13700.96</v>
      </c>
      <c r="N9" s="8">
        <f t="shared" si="0"/>
        <v>56207.54</v>
      </c>
    </row>
    <row r="10" spans="1:14" ht="12.75">
      <c r="A10" s="5">
        <v>5</v>
      </c>
      <c r="B10" s="80" t="s">
        <v>23</v>
      </c>
      <c r="C10" s="80"/>
      <c r="D10" s="5">
        <v>5</v>
      </c>
      <c r="E10" s="5">
        <v>139</v>
      </c>
      <c r="F10" s="5"/>
      <c r="G10" s="5">
        <v>9</v>
      </c>
      <c r="H10" s="5">
        <v>788.1</v>
      </c>
      <c r="I10" s="5">
        <v>1632.4</v>
      </c>
      <c r="J10" s="5">
        <v>6410</v>
      </c>
      <c r="K10" s="6">
        <v>6145.2</v>
      </c>
      <c r="L10" s="7">
        <v>54019.84</v>
      </c>
      <c r="M10" s="7">
        <v>17411.95</v>
      </c>
      <c r="N10" s="8">
        <f t="shared" si="0"/>
        <v>71431.79</v>
      </c>
    </row>
    <row r="11" spans="1:14" ht="12.75">
      <c r="A11" s="5">
        <v>6</v>
      </c>
      <c r="B11" s="80" t="s">
        <v>24</v>
      </c>
      <c r="C11" s="80"/>
      <c r="D11" s="5">
        <v>5</v>
      </c>
      <c r="E11" s="5">
        <v>110</v>
      </c>
      <c r="F11" s="5"/>
      <c r="G11" s="5">
        <v>7</v>
      </c>
      <c r="H11" s="5">
        <v>609.7</v>
      </c>
      <c r="I11" s="5">
        <v>1282.6</v>
      </c>
      <c r="J11" s="5">
        <v>5832</v>
      </c>
      <c r="K11" s="6">
        <v>4850.2</v>
      </c>
      <c r="L11" s="7">
        <v>42346.87</v>
      </c>
      <c r="M11" s="7">
        <v>13649.47</v>
      </c>
      <c r="N11" s="8">
        <f t="shared" si="0"/>
        <v>55996.340000000004</v>
      </c>
    </row>
    <row r="12" spans="1:14" ht="12.75">
      <c r="A12" s="5">
        <v>7</v>
      </c>
      <c r="B12" s="80" t="s">
        <v>25</v>
      </c>
      <c r="C12" s="80"/>
      <c r="D12" s="5">
        <v>5</v>
      </c>
      <c r="E12" s="5">
        <v>110</v>
      </c>
      <c r="F12" s="5"/>
      <c r="G12" s="5">
        <v>7</v>
      </c>
      <c r="H12" s="5">
        <v>629.7</v>
      </c>
      <c r="I12" s="5">
        <v>1308.7</v>
      </c>
      <c r="J12" s="5">
        <v>5214</v>
      </c>
      <c r="K12" s="6">
        <v>4827.8</v>
      </c>
      <c r="L12" s="7">
        <v>42412.67</v>
      </c>
      <c r="M12" s="7">
        <v>13670.73</v>
      </c>
      <c r="N12" s="8">
        <f t="shared" si="0"/>
        <v>56083.399999999994</v>
      </c>
    </row>
    <row r="13" spans="1:14" ht="12.75">
      <c r="A13" s="6">
        <v>8</v>
      </c>
      <c r="B13" s="111" t="s">
        <v>51</v>
      </c>
      <c r="C13" s="111"/>
      <c r="D13" s="18">
        <v>5</v>
      </c>
      <c r="E13" s="18">
        <v>110</v>
      </c>
      <c r="F13" s="18"/>
      <c r="G13" s="18">
        <v>7</v>
      </c>
      <c r="H13" s="18">
        <v>685.8</v>
      </c>
      <c r="I13" s="18">
        <v>1293</v>
      </c>
      <c r="J13" s="18">
        <v>4129</v>
      </c>
      <c r="K13" s="6">
        <v>4926.5</v>
      </c>
      <c r="L13" s="19">
        <v>43365.33</v>
      </c>
      <c r="M13" s="19">
        <v>13977.7</v>
      </c>
      <c r="N13" s="8">
        <f>L13+M13</f>
        <v>57343.03</v>
      </c>
    </row>
    <row r="14" spans="1:14" ht="12.75">
      <c r="A14" s="10"/>
      <c r="B14" s="81" t="s">
        <v>26</v>
      </c>
      <c r="C14" s="82"/>
      <c r="D14" s="10">
        <f>SUM(D6:D13)</f>
        <v>40</v>
      </c>
      <c r="E14" s="10">
        <f>SUM(E6:E13)</f>
        <v>805</v>
      </c>
      <c r="F14" s="10"/>
      <c r="G14" s="10">
        <f aca="true" t="shared" si="1" ref="G14:M14">SUM(G6:G13)</f>
        <v>51</v>
      </c>
      <c r="H14" s="10">
        <f t="shared" si="1"/>
        <v>4764.6</v>
      </c>
      <c r="I14" s="10">
        <f t="shared" si="1"/>
        <v>9629.7</v>
      </c>
      <c r="J14" s="10">
        <f t="shared" si="1"/>
        <v>38667</v>
      </c>
      <c r="K14" s="11">
        <f t="shared" si="1"/>
        <v>35955.8</v>
      </c>
      <c r="L14" s="9">
        <f t="shared" si="1"/>
        <v>315657.77</v>
      </c>
      <c r="M14" s="9">
        <f t="shared" si="1"/>
        <v>101744.55</v>
      </c>
      <c r="N14" s="12">
        <f>SUM(N6:N12)</f>
        <v>360059.29000000004</v>
      </c>
    </row>
    <row r="15" spans="1:14" ht="12.75">
      <c r="A15" s="83" t="s">
        <v>27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</row>
    <row r="16" spans="1:14" ht="12.75">
      <c r="A16" s="5">
        <v>9</v>
      </c>
      <c r="B16" s="80" t="s">
        <v>28</v>
      </c>
      <c r="C16" s="80"/>
      <c r="D16" s="5">
        <v>9</v>
      </c>
      <c r="E16" s="5">
        <v>172</v>
      </c>
      <c r="F16" s="5">
        <v>5</v>
      </c>
      <c r="G16" s="5">
        <v>5</v>
      </c>
      <c r="H16" s="5">
        <v>1343.8</v>
      </c>
      <c r="I16" s="5">
        <v>1470.1</v>
      </c>
      <c r="J16" s="5">
        <v>4278</v>
      </c>
      <c r="K16" s="6">
        <v>8863</v>
      </c>
      <c r="L16" s="7">
        <v>96108.29</v>
      </c>
      <c r="M16" s="7">
        <v>34708.66</v>
      </c>
      <c r="N16" s="8">
        <f>L16+M16</f>
        <v>130816.95</v>
      </c>
    </row>
    <row r="17" spans="1:14" ht="12.75">
      <c r="A17" s="5">
        <v>10</v>
      </c>
      <c r="B17" s="80" t="s">
        <v>52</v>
      </c>
      <c r="C17" s="80"/>
      <c r="D17" s="5">
        <v>9</v>
      </c>
      <c r="E17" s="5">
        <v>108</v>
      </c>
      <c r="F17" s="5">
        <v>3</v>
      </c>
      <c r="G17" s="5">
        <v>3</v>
      </c>
      <c r="H17" s="5">
        <v>978.7</v>
      </c>
      <c r="I17" s="5">
        <v>984.1</v>
      </c>
      <c r="J17" s="5">
        <v>2938</v>
      </c>
      <c r="K17" s="6">
        <v>5829.4</v>
      </c>
      <c r="L17" s="7">
        <v>72949.06</v>
      </c>
      <c r="M17" s="7">
        <v>22898.55</v>
      </c>
      <c r="N17" s="8">
        <f>L17+M17</f>
        <v>95847.61</v>
      </c>
    </row>
    <row r="18" spans="1:14" ht="12.75">
      <c r="A18" s="18">
        <v>11</v>
      </c>
      <c r="B18" s="80" t="s">
        <v>53</v>
      </c>
      <c r="C18" s="80"/>
      <c r="D18" s="5">
        <v>9</v>
      </c>
      <c r="E18" s="5">
        <v>142</v>
      </c>
      <c r="F18" s="5">
        <v>4</v>
      </c>
      <c r="G18" s="5">
        <v>4</v>
      </c>
      <c r="H18" s="5">
        <v>1113.9</v>
      </c>
      <c r="I18" s="5">
        <v>1164.9</v>
      </c>
      <c r="J18" s="5">
        <v>5399</v>
      </c>
      <c r="K18" s="6">
        <v>7251.1</v>
      </c>
      <c r="L18" s="7">
        <v>90739.93</v>
      </c>
      <c r="M18" s="7">
        <v>28483.14</v>
      </c>
      <c r="N18" s="8">
        <f>L18+M18</f>
        <v>119223.06999999999</v>
      </c>
    </row>
    <row r="19" spans="1:14" ht="12.75">
      <c r="A19" s="5">
        <v>12</v>
      </c>
      <c r="B19" s="80" t="s">
        <v>29</v>
      </c>
      <c r="C19" s="80"/>
      <c r="D19" s="5">
        <v>10</v>
      </c>
      <c r="E19" s="5">
        <v>78</v>
      </c>
      <c r="F19" s="5">
        <v>2</v>
      </c>
      <c r="G19" s="5">
        <v>2</v>
      </c>
      <c r="H19" s="5">
        <v>623.5</v>
      </c>
      <c r="I19" s="5">
        <v>600.5</v>
      </c>
      <c r="J19" s="5">
        <v>1933</v>
      </c>
      <c r="K19" s="6">
        <v>4147.2</v>
      </c>
      <c r="L19" s="7">
        <v>51980.51</v>
      </c>
      <c r="M19" s="7">
        <v>16316.62</v>
      </c>
      <c r="N19" s="8">
        <f>L19+M19</f>
        <v>68297.13</v>
      </c>
    </row>
    <row r="20" spans="1:14" ht="12.75">
      <c r="A20" s="5">
        <v>13</v>
      </c>
      <c r="B20" s="80" t="s">
        <v>30</v>
      </c>
      <c r="C20" s="80"/>
      <c r="D20" s="5">
        <v>9</v>
      </c>
      <c r="E20" s="5">
        <v>142</v>
      </c>
      <c r="F20" s="5">
        <v>4</v>
      </c>
      <c r="G20" s="5">
        <v>4</v>
      </c>
      <c r="H20" s="5">
        <v>1082.2</v>
      </c>
      <c r="I20" s="5">
        <v>1170.7</v>
      </c>
      <c r="J20" s="5">
        <v>5957</v>
      </c>
      <c r="K20" s="6">
        <v>7266.7</v>
      </c>
      <c r="L20" s="7">
        <v>90934.04</v>
      </c>
      <c r="M20" s="7">
        <v>28544.14</v>
      </c>
      <c r="N20" s="8">
        <f>L20+M20</f>
        <v>119478.18</v>
      </c>
    </row>
    <row r="21" spans="1:14" ht="12.75">
      <c r="A21" s="5">
        <v>14</v>
      </c>
      <c r="B21" s="80" t="s">
        <v>31</v>
      </c>
      <c r="C21" s="80"/>
      <c r="D21" s="5">
        <v>9</v>
      </c>
      <c r="E21" s="5">
        <v>34</v>
      </c>
      <c r="F21" s="5">
        <v>1</v>
      </c>
      <c r="G21" s="5">
        <v>1</v>
      </c>
      <c r="H21" s="5">
        <v>670.3</v>
      </c>
      <c r="I21" s="5">
        <v>280.2</v>
      </c>
      <c r="J21" s="5">
        <v>3515</v>
      </c>
      <c r="K21" s="6">
        <v>1640.1</v>
      </c>
      <c r="L21" s="7">
        <v>20632.94</v>
      </c>
      <c r="M21" s="7">
        <v>6476.66</v>
      </c>
      <c r="N21" s="8">
        <f>SUM(L21:M21)</f>
        <v>27109.6</v>
      </c>
    </row>
    <row r="22" spans="1:14" ht="12.75">
      <c r="A22" s="5">
        <v>15</v>
      </c>
      <c r="B22" s="80" t="s">
        <v>32</v>
      </c>
      <c r="C22" s="80"/>
      <c r="D22" s="5">
        <v>9</v>
      </c>
      <c r="E22" s="5">
        <v>213</v>
      </c>
      <c r="F22" s="5">
        <v>6</v>
      </c>
      <c r="G22" s="5">
        <v>6</v>
      </c>
      <c r="H22" s="5">
        <v>1637.3</v>
      </c>
      <c r="I22" s="5">
        <v>1762.4</v>
      </c>
      <c r="J22" s="5">
        <v>7777</v>
      </c>
      <c r="K22" s="6">
        <v>10994.5</v>
      </c>
      <c r="L22" s="7">
        <v>137777.71</v>
      </c>
      <c r="M22" s="7">
        <v>43248.11</v>
      </c>
      <c r="N22" s="8">
        <f aca="true" t="shared" si="2" ref="N22:N29">L22+M22</f>
        <v>181025.82</v>
      </c>
    </row>
    <row r="23" spans="1:14" ht="12.75">
      <c r="A23" s="5">
        <v>16</v>
      </c>
      <c r="B23" s="80" t="s">
        <v>33</v>
      </c>
      <c r="C23" s="80"/>
      <c r="D23" s="5">
        <v>9</v>
      </c>
      <c r="E23" s="5">
        <v>35</v>
      </c>
      <c r="F23" s="5">
        <v>1</v>
      </c>
      <c r="G23" s="5">
        <v>1</v>
      </c>
      <c r="H23" s="5">
        <v>282.4</v>
      </c>
      <c r="I23" s="5">
        <v>281.6</v>
      </c>
      <c r="J23" s="5">
        <v>2272</v>
      </c>
      <c r="K23" s="6">
        <v>1789.8</v>
      </c>
      <c r="L23" s="7">
        <v>21607.02</v>
      </c>
      <c r="M23" s="7">
        <v>6782.43</v>
      </c>
      <c r="N23" s="8">
        <f t="shared" si="2"/>
        <v>28389.45</v>
      </c>
    </row>
    <row r="24" spans="1:14" ht="12.75">
      <c r="A24" s="5">
        <v>17</v>
      </c>
      <c r="B24" s="80" t="s">
        <v>34</v>
      </c>
      <c r="C24" s="80"/>
      <c r="D24" s="5">
        <v>9</v>
      </c>
      <c r="E24" s="5">
        <v>177</v>
      </c>
      <c r="F24" s="5">
        <v>5</v>
      </c>
      <c r="G24" s="5">
        <v>5</v>
      </c>
      <c r="H24" s="5">
        <v>1360.2</v>
      </c>
      <c r="I24" s="5">
        <v>1464.1</v>
      </c>
      <c r="J24" s="5">
        <v>9415</v>
      </c>
      <c r="K24" s="6">
        <v>9174.2</v>
      </c>
      <c r="L24" s="7">
        <v>115231.51</v>
      </c>
      <c r="M24" s="7">
        <v>36171.08</v>
      </c>
      <c r="N24" s="8">
        <f t="shared" si="2"/>
        <v>151402.59</v>
      </c>
    </row>
    <row r="25" spans="1:14" ht="12.75">
      <c r="A25" s="18">
        <v>18</v>
      </c>
      <c r="B25" s="80" t="s">
        <v>54</v>
      </c>
      <c r="C25" s="80"/>
      <c r="D25" s="6">
        <v>9</v>
      </c>
      <c r="E25" s="6">
        <v>141</v>
      </c>
      <c r="F25" s="6">
        <v>4</v>
      </c>
      <c r="G25" s="6">
        <v>4</v>
      </c>
      <c r="H25" s="6">
        <v>1049.2</v>
      </c>
      <c r="I25" s="6">
        <v>1183.7</v>
      </c>
      <c r="J25" s="6">
        <v>9888</v>
      </c>
      <c r="K25" s="6">
        <v>7421.3</v>
      </c>
      <c r="L25" s="7">
        <v>92868.4</v>
      </c>
      <c r="M25" s="7">
        <v>29151.17</v>
      </c>
      <c r="N25" s="8">
        <f t="shared" si="2"/>
        <v>122019.56999999999</v>
      </c>
    </row>
    <row r="26" spans="1:14" ht="12.75">
      <c r="A26" s="5">
        <v>19</v>
      </c>
      <c r="B26" s="80" t="s">
        <v>35</v>
      </c>
      <c r="C26" s="80"/>
      <c r="D26" s="5">
        <v>9</v>
      </c>
      <c r="E26" s="5">
        <v>213</v>
      </c>
      <c r="F26" s="5">
        <v>6</v>
      </c>
      <c r="G26" s="5">
        <v>6</v>
      </c>
      <c r="H26" s="5">
        <v>1665.5</v>
      </c>
      <c r="I26" s="5">
        <v>1760.1</v>
      </c>
      <c r="J26" s="5">
        <v>9999</v>
      </c>
      <c r="K26" s="6">
        <v>11065</v>
      </c>
      <c r="L26" s="7">
        <v>138632.66</v>
      </c>
      <c r="M26" s="7">
        <v>43516.64</v>
      </c>
      <c r="N26" s="8">
        <f t="shared" si="2"/>
        <v>182149.3</v>
      </c>
    </row>
    <row r="27" spans="1:14" ht="12.75">
      <c r="A27" s="5">
        <v>20</v>
      </c>
      <c r="B27" s="80" t="s">
        <v>36</v>
      </c>
      <c r="C27" s="80"/>
      <c r="D27" s="5">
        <v>9</v>
      </c>
      <c r="E27" s="5">
        <v>213</v>
      </c>
      <c r="F27" s="5">
        <v>6</v>
      </c>
      <c r="G27" s="5">
        <v>6</v>
      </c>
      <c r="H27" s="5">
        <v>1684.1</v>
      </c>
      <c r="I27" s="5">
        <v>1750.2</v>
      </c>
      <c r="J27" s="5">
        <v>7454</v>
      </c>
      <c r="K27" s="6">
        <v>10840.2</v>
      </c>
      <c r="L27" s="7">
        <v>135637.9</v>
      </c>
      <c r="M27" s="7">
        <v>42576.51</v>
      </c>
      <c r="N27" s="8">
        <f t="shared" si="2"/>
        <v>178214.41</v>
      </c>
    </row>
    <row r="28" spans="1:14" ht="12.75">
      <c r="A28" s="5">
        <v>21</v>
      </c>
      <c r="B28" s="80" t="s">
        <v>37</v>
      </c>
      <c r="C28" s="80"/>
      <c r="D28" s="5">
        <v>9</v>
      </c>
      <c r="E28" s="5">
        <v>142</v>
      </c>
      <c r="F28" s="5">
        <v>4</v>
      </c>
      <c r="G28" s="5">
        <v>4</v>
      </c>
      <c r="H28" s="5">
        <v>946.4</v>
      </c>
      <c r="I28" s="5">
        <v>1159.4</v>
      </c>
      <c r="J28" s="5">
        <v>6191</v>
      </c>
      <c r="K28" s="6">
        <v>7173.2</v>
      </c>
      <c r="L28" s="7">
        <v>90219.12</v>
      </c>
      <c r="M28" s="7">
        <v>28319.71</v>
      </c>
      <c r="N28" s="8">
        <f t="shared" si="2"/>
        <v>118538.82999999999</v>
      </c>
    </row>
    <row r="29" spans="1:14" ht="12.75">
      <c r="A29" s="5">
        <v>22</v>
      </c>
      <c r="B29" s="80" t="s">
        <v>38</v>
      </c>
      <c r="C29" s="80"/>
      <c r="D29" s="5">
        <v>9</v>
      </c>
      <c r="E29" s="5">
        <v>212</v>
      </c>
      <c r="F29" s="5">
        <v>6</v>
      </c>
      <c r="G29" s="5">
        <v>6</v>
      </c>
      <c r="H29" s="5">
        <v>1708.1</v>
      </c>
      <c r="I29" s="5">
        <v>1751.9</v>
      </c>
      <c r="J29" s="5">
        <v>6532</v>
      </c>
      <c r="K29" s="6">
        <v>10814.2</v>
      </c>
      <c r="L29" s="7">
        <v>136198.92</v>
      </c>
      <c r="M29" s="7">
        <v>42752.66</v>
      </c>
      <c r="N29" s="8">
        <f t="shared" si="2"/>
        <v>178951.58000000002</v>
      </c>
    </row>
    <row r="30" spans="1:14" ht="12.75">
      <c r="A30" s="5">
        <v>23</v>
      </c>
      <c r="B30" s="80" t="s">
        <v>39</v>
      </c>
      <c r="C30" s="80"/>
      <c r="D30" s="5">
        <v>9</v>
      </c>
      <c r="E30" s="5">
        <v>34</v>
      </c>
      <c r="F30" s="5">
        <v>1</v>
      </c>
      <c r="G30" s="5">
        <v>1</v>
      </c>
      <c r="H30" s="5">
        <v>287.2</v>
      </c>
      <c r="I30" s="5">
        <v>280.7</v>
      </c>
      <c r="J30" s="5">
        <v>2861</v>
      </c>
      <c r="K30" s="6">
        <v>1656.8</v>
      </c>
      <c r="L30" s="7">
        <v>20664.28</v>
      </c>
      <c r="M30" s="7">
        <v>6486.46</v>
      </c>
      <c r="N30" s="8">
        <f>SUM(L30:M30)</f>
        <v>27150.739999999998</v>
      </c>
    </row>
    <row r="31" spans="1:14" ht="12.75">
      <c r="A31" s="5">
        <v>24</v>
      </c>
      <c r="B31" s="80" t="s">
        <v>40</v>
      </c>
      <c r="C31" s="80"/>
      <c r="D31" s="5">
        <v>9</v>
      </c>
      <c r="E31" s="5">
        <v>214</v>
      </c>
      <c r="F31" s="5">
        <v>6</v>
      </c>
      <c r="G31" s="5">
        <v>6</v>
      </c>
      <c r="H31" s="5">
        <v>1704.9</v>
      </c>
      <c r="I31" s="5">
        <v>1746</v>
      </c>
      <c r="J31" s="5">
        <v>6792</v>
      </c>
      <c r="K31" s="6">
        <v>10901.9</v>
      </c>
      <c r="L31" s="7">
        <v>136416.63</v>
      </c>
      <c r="M31" s="7">
        <v>42821.05</v>
      </c>
      <c r="N31" s="8">
        <f>L31+M31</f>
        <v>179237.68</v>
      </c>
    </row>
    <row r="32" spans="1:14" ht="12.75">
      <c r="A32" s="5">
        <v>25</v>
      </c>
      <c r="B32" s="80" t="s">
        <v>41</v>
      </c>
      <c r="C32" s="80"/>
      <c r="D32" s="5">
        <v>9</v>
      </c>
      <c r="E32" s="5">
        <v>34</v>
      </c>
      <c r="F32" s="5">
        <v>1</v>
      </c>
      <c r="G32" s="5">
        <v>1</v>
      </c>
      <c r="H32" s="5">
        <v>294.7</v>
      </c>
      <c r="I32" s="5">
        <v>278.5</v>
      </c>
      <c r="J32" s="5">
        <v>3853</v>
      </c>
      <c r="K32" s="6">
        <v>1673.8</v>
      </c>
      <c r="L32" s="7">
        <v>20943.46</v>
      </c>
      <c r="M32" s="7">
        <v>6574.13</v>
      </c>
      <c r="N32" s="8">
        <f>L32+M32</f>
        <v>27517.59</v>
      </c>
    </row>
    <row r="33" spans="1:14" ht="12.75">
      <c r="A33" s="5">
        <v>26</v>
      </c>
      <c r="B33" s="80" t="s">
        <v>42</v>
      </c>
      <c r="C33" s="80"/>
      <c r="D33" s="5">
        <v>9</v>
      </c>
      <c r="E33" s="5">
        <v>107</v>
      </c>
      <c r="F33" s="5">
        <v>3</v>
      </c>
      <c r="G33" s="5">
        <v>3</v>
      </c>
      <c r="H33" s="5">
        <v>833.4</v>
      </c>
      <c r="I33" s="5">
        <v>889.9</v>
      </c>
      <c r="J33" s="5">
        <v>3798</v>
      </c>
      <c r="K33" s="6">
        <v>5727.1</v>
      </c>
      <c r="L33" s="7">
        <v>69650</v>
      </c>
      <c r="M33" s="7">
        <v>21863.02</v>
      </c>
      <c r="N33" s="8">
        <f>L33+M33</f>
        <v>91513.02</v>
      </c>
    </row>
    <row r="34" spans="1:14" ht="12.75">
      <c r="A34" s="10"/>
      <c r="B34" s="81" t="s">
        <v>26</v>
      </c>
      <c r="C34" s="82"/>
      <c r="D34" s="10">
        <f aca="true" t="shared" si="3" ref="D34:M34">SUM(D16:D33)</f>
        <v>163</v>
      </c>
      <c r="E34" s="10">
        <f t="shared" si="3"/>
        <v>2411</v>
      </c>
      <c r="F34" s="10">
        <f t="shared" si="3"/>
        <v>68</v>
      </c>
      <c r="G34" s="10">
        <f t="shared" si="3"/>
        <v>68</v>
      </c>
      <c r="H34" s="10">
        <f t="shared" si="3"/>
        <v>19265.800000000007</v>
      </c>
      <c r="I34" s="10">
        <f t="shared" si="3"/>
        <v>19979.000000000004</v>
      </c>
      <c r="J34" s="10">
        <f t="shared" si="3"/>
        <v>100852</v>
      </c>
      <c r="K34" s="11">
        <f t="shared" si="3"/>
        <v>124229.5</v>
      </c>
      <c r="L34" s="9">
        <f t="shared" si="3"/>
        <v>1539192.38</v>
      </c>
      <c r="M34" s="9">
        <f t="shared" si="3"/>
        <v>487690.7400000001</v>
      </c>
      <c r="N34" s="12">
        <f>SUM(N19:N33)</f>
        <v>1680995.49</v>
      </c>
    </row>
    <row r="35" spans="1:14" ht="12.75">
      <c r="A35" s="10"/>
      <c r="B35" s="79" t="s">
        <v>43</v>
      </c>
      <c r="C35" s="79"/>
      <c r="D35" s="10">
        <f aca="true" t="shared" si="4" ref="D35:N35">D14+D34</f>
        <v>203</v>
      </c>
      <c r="E35" s="10">
        <f t="shared" si="4"/>
        <v>3216</v>
      </c>
      <c r="F35" s="10">
        <f t="shared" si="4"/>
        <v>68</v>
      </c>
      <c r="G35" s="10">
        <f t="shared" si="4"/>
        <v>119</v>
      </c>
      <c r="H35" s="10">
        <f t="shared" si="4"/>
        <v>24030.40000000001</v>
      </c>
      <c r="I35" s="10">
        <f t="shared" si="4"/>
        <v>29608.700000000004</v>
      </c>
      <c r="J35" s="10">
        <f t="shared" si="4"/>
        <v>139519</v>
      </c>
      <c r="K35" s="10">
        <f t="shared" si="4"/>
        <v>160185.3</v>
      </c>
      <c r="L35" s="9">
        <f t="shared" si="4"/>
        <v>1854850.15</v>
      </c>
      <c r="M35" s="10">
        <f t="shared" si="4"/>
        <v>589435.2900000002</v>
      </c>
      <c r="N35" s="9">
        <f t="shared" si="4"/>
        <v>2041054.78</v>
      </c>
    </row>
    <row r="36" spans="1:14" ht="12.75">
      <c r="A36" s="13"/>
      <c r="B36" s="14"/>
      <c r="C36" s="14"/>
      <c r="D36" s="13"/>
      <c r="E36" s="15"/>
      <c r="F36" s="15"/>
      <c r="G36" s="15"/>
      <c r="H36" s="16"/>
      <c r="I36" s="16"/>
      <c r="J36" s="16"/>
      <c r="K36" s="16"/>
      <c r="L36" s="16"/>
      <c r="M36" s="16"/>
      <c r="N36" s="17"/>
    </row>
    <row r="37" spans="1:14" ht="12.75">
      <c r="A37" s="13"/>
      <c r="B37" s="14"/>
      <c r="C37" s="14"/>
      <c r="D37" s="13"/>
      <c r="E37" s="15"/>
      <c r="F37" s="15"/>
      <c r="G37" s="15"/>
      <c r="H37" s="16"/>
      <c r="I37" s="16"/>
      <c r="J37" s="16"/>
      <c r="K37" s="16"/>
      <c r="L37" s="16"/>
      <c r="M37" s="16"/>
      <c r="N37" s="17"/>
    </row>
    <row r="38" spans="1:14" ht="12.75">
      <c r="A38" s="1"/>
      <c r="K38" s="3"/>
      <c r="L38" s="1"/>
      <c r="M38" s="1"/>
      <c r="N38" s="1"/>
    </row>
    <row r="39" spans="1:14" ht="12.75">
      <c r="A39" s="1"/>
      <c r="B39" t="s">
        <v>44</v>
      </c>
      <c r="H39" s="3"/>
      <c r="K39" s="3"/>
      <c r="L39" s="1"/>
      <c r="M39" s="1"/>
      <c r="N39" s="1"/>
    </row>
  </sheetData>
  <sheetProtection/>
  <mergeCells count="44">
    <mergeCell ref="B7:C7"/>
    <mergeCell ref="C1:M1"/>
    <mergeCell ref="A3:A4"/>
    <mergeCell ref="B3:C4"/>
    <mergeCell ref="D3:D4"/>
    <mergeCell ref="E3:E4"/>
    <mergeCell ref="F3:F4"/>
    <mergeCell ref="G3:G4"/>
    <mergeCell ref="H3:H4"/>
    <mergeCell ref="I3:I4"/>
    <mergeCell ref="A5:N5"/>
    <mergeCell ref="B6:C6"/>
    <mergeCell ref="K3:K4"/>
    <mergeCell ref="L3:M3"/>
    <mergeCell ref="N3:N4"/>
    <mergeCell ref="J3:J4"/>
    <mergeCell ref="B20:C20"/>
    <mergeCell ref="B21:C21"/>
    <mergeCell ref="B11:C11"/>
    <mergeCell ref="B12:C12"/>
    <mergeCell ref="B14:C14"/>
    <mergeCell ref="A15:N15"/>
    <mergeCell ref="B8:C8"/>
    <mergeCell ref="B9:C9"/>
    <mergeCell ref="B10:C10"/>
    <mergeCell ref="B19:C19"/>
    <mergeCell ref="B24:C24"/>
    <mergeCell ref="B26:C26"/>
    <mergeCell ref="B27:C27"/>
    <mergeCell ref="B28:C28"/>
    <mergeCell ref="B35:C35"/>
    <mergeCell ref="B13:C13"/>
    <mergeCell ref="B16:C16"/>
    <mergeCell ref="B17:C17"/>
    <mergeCell ref="B18:C18"/>
    <mergeCell ref="B25:C25"/>
    <mergeCell ref="B31:C31"/>
    <mergeCell ref="B32:C32"/>
    <mergeCell ref="B22:C22"/>
    <mergeCell ref="B23:C23"/>
    <mergeCell ref="B33:C33"/>
    <mergeCell ref="B34:C34"/>
    <mergeCell ref="B29:C29"/>
    <mergeCell ref="B30:C30"/>
  </mergeCells>
  <printOptions/>
  <pageMargins left="0.3937007874015748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2012-10-10T10:58:31Z</cp:lastPrinted>
  <dcterms:created xsi:type="dcterms:W3CDTF">2009-02-05T11:46:23Z</dcterms:created>
  <dcterms:modified xsi:type="dcterms:W3CDTF">2014-08-12T12:12:27Z</dcterms:modified>
  <cp:category/>
  <cp:version/>
  <cp:contentType/>
  <cp:contentStatus/>
</cp:coreProperties>
</file>